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defaultThemeVersion="166925"/>
  <mc:AlternateContent xmlns:mc="http://schemas.openxmlformats.org/markup-compatibility/2006">
    <mc:Choice Requires="x15">
      <x15ac:absPath xmlns:x15ac="http://schemas.microsoft.com/office/spreadsheetml/2010/11/ac" url="https://iomint.sharepoint.com/teams/BorFloodRiskMitigationProject/Shared Documents/27. Procurement/01 BFRMP Infrastructure/01 Project Technical Documents/Additional proposed interventions/"/>
    </mc:Choice>
  </mc:AlternateContent>
  <xr:revisionPtr revIDLastSave="11" documentId="8_{708C5B15-DD94-42A1-A48A-F0518753454E}" xr6:coauthVersionLast="47" xr6:coauthVersionMax="47" xr10:uidLastSave="{F26DDC6A-EA33-4B60-9C26-D32EF9F634DE}"/>
  <bookViews>
    <workbookView xWindow="-108" yWindow="-108" windowWidth="23256" windowHeight="12576" activeTab="5" xr2:uid="{1FB3E3C2-5967-4254-A6E6-540DEE1F98E1}"/>
  </bookViews>
  <sheets>
    <sheet name="BoQ" sheetId="8" r:id="rId1"/>
    <sheet name="Locations" sheetId="1" r:id="rId2"/>
    <sheet name="Scope of work " sheetId="3" r:id="rId3"/>
    <sheet name="Technical Specification" sheetId="7" r:id="rId4"/>
    <sheet name="Large Culvert" sheetId="5" r:id="rId5"/>
    <sheet name="Flap Gates" sheetId="4" r:id="rId6"/>
  </sheets>
  <definedNames>
    <definedName name="____pa2">#REF!</definedName>
    <definedName name="___pa2">#REF!</definedName>
    <definedName name="__pa2">#REF!</definedName>
    <definedName name="_BQ4.2" localSheetId="3" hidden="1">#REF!</definedName>
    <definedName name="_BQ4.2" hidden="1">#REF!</definedName>
    <definedName name="_Key1">#REF!</definedName>
    <definedName name="_pa2">#REF!</definedName>
    <definedName name="_pa3">#REF!</definedName>
    <definedName name="_pa4">#REF!</definedName>
    <definedName name="_Sort">#REF!</definedName>
    <definedName name="AB" comment="Linie budżetowe">#REF!</definedName>
    <definedName name="account_code">#REF!</definedName>
    <definedName name="account_description">#REF!</definedName>
    <definedName name="ag">#REF!</definedName>
    <definedName name="AI">#REF!</definedName>
    <definedName name="amendment">#REF!</definedName>
    <definedName name="ANWash2">#REF!</definedName>
    <definedName name="As">#REF!</definedName>
    <definedName name="b">#REF!:OFFSET(#REF!,COUNTA(#REF!)-2,0)</definedName>
    <definedName name="Band1">#REF!</definedName>
    <definedName name="Band2">#REF!</definedName>
    <definedName name="Band3">#REF!</definedName>
    <definedName name="Band4">#REF!</definedName>
    <definedName name="BK">OFFSET(#REF!,0,0,COUNTA(#REF!),1)</definedName>
    <definedName name="budget_code">#REF!</definedName>
    <definedName name="budget_description">#REF!</definedName>
    <definedName name="BudgetUSDwithCAM">#REF!</definedName>
    <definedName name="budzet">#REF!:OFFSET(#REF!,COUNTA(#REF!)-2,0)</definedName>
    <definedName name="budzet_kod">#REF!:OFFSET(#REF!,COUNTA(#REF!)-2,0)</definedName>
    <definedName name="budzet_nazwa">#REF!:OFFSET(#REF!,COUNTA(#REF!)-2,0)</definedName>
    <definedName name="CAM">#REF!</definedName>
    <definedName name="CAMBUDGET">#REF!</definedName>
    <definedName name="CampColumn">#REF!</definedName>
    <definedName name="CampStart">#REF!</definedName>
    <definedName name="CHART">#REF!</definedName>
    <definedName name="CheckDate">#REF!</definedName>
    <definedName name="Clusters">#REF!</definedName>
    <definedName name="coa">#REF!</definedName>
    <definedName name="codes">#REF!</definedName>
    <definedName name="Community_Pcode">#REF!</definedName>
    <definedName name="Community_Start">#REF!</definedName>
    <definedName name="Completed">#REF!</definedName>
    <definedName name="consamt">#REF!</definedName>
    <definedName name="conscodes">#REF!</definedName>
    <definedName name="Created">#REF!</definedName>
    <definedName name="CurA">#REF!</definedName>
    <definedName name="CurB">#REF!</definedName>
    <definedName name="CurC">#REF!</definedName>
    <definedName name="curr">#REF!</definedName>
    <definedName name="currency">#REF!</definedName>
    <definedName name="dane">#REF!</definedName>
    <definedName name="DATA">#REF!</definedName>
    <definedName name="DATA1">#REF!</definedName>
    <definedName name="DATA2">#REF!</definedName>
    <definedName name="Dc">#REF!</definedName>
    <definedName name="dcode">#REF!</definedName>
    <definedName name="department">#REF!</definedName>
    <definedName name="District_Pcode">#REF!</definedName>
    <definedName name="District_Start">#REF!</definedName>
    <definedName name="Divisions">OFFSET(#REF!,1,0,COUNTA(#REF!),1)</definedName>
    <definedName name="Donut1">"Donut 7,Donut 97,Donut 105,Donut 99,Donut 101,Donut 114,Donut 103,Donut 115,Donut 117,Donut 106,Donut 107,Donut 108,Donut 111,Donut 109,Donut 112,Donut 123,Donut 127,Donut 125,Donut 113,Donut 121,Donut 119"</definedName>
    <definedName name="dostawcy_kod">#REF!</definedName>
    <definedName name="dostawcy_tabela">#REF!</definedName>
    <definedName name="dostawcy_tekst">#REF!</definedName>
    <definedName name="dostawcy1">#REF!:OFFSET(#REF!,COUNTA(#REF!)-2,0)</definedName>
    <definedName name="dostawcy2">#REF!:OFFSET(#REF!,COUNTA(#REF!)-2,0)</definedName>
    <definedName name="druk">#REF!</definedName>
    <definedName name="dw">#REF!</definedName>
    <definedName name="ECHO">#REF!</definedName>
    <definedName name="EES">#REF!</definedName>
    <definedName name="euros">#REF!</definedName>
    <definedName name="Exchange">#REF!</definedName>
    <definedName name="ExchangeRate">#REF!</definedName>
    <definedName name="exrate">#REF!</definedName>
    <definedName name="fin">#REF!</definedName>
    <definedName name="Five">#REF!</definedName>
    <definedName name="fyv">#REF!</definedName>
    <definedName name="g">#REF!</definedName>
    <definedName name="Governorate_Pcode">#REF!</definedName>
    <definedName name="Governorate_Start">#REF!</definedName>
    <definedName name="Governorates">#REF!</definedName>
    <definedName name="Grade1">#REF!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oss">#REF!</definedName>
    <definedName name="h">#REF!</definedName>
    <definedName name="Ia">#REF!</definedName>
    <definedName name="IHSAN">#REF!</definedName>
    <definedName name="infl">#REF!</definedName>
    <definedName name="INVOICENUMBER">#REF!</definedName>
    <definedName name="Iv">#REF!</definedName>
    <definedName name="kodyPAH">#REF!</definedName>
    <definedName name="konta">#REF!</definedName>
    <definedName name="konta_numery">#REF!</definedName>
    <definedName name="konta_opisy">#REF!</definedName>
    <definedName name="konta_tabela">#REF!</definedName>
    <definedName name="kontap">#REF!</definedName>
    <definedName name="koszty">#REF!:OFFSET(#REF!,COUNTA(#REF!)-2,0)</definedName>
    <definedName name="koszty_kod">#REF!:OFFSET(#REF!,COUNTA(#REF!)-2,0)</definedName>
    <definedName name="koszty_nazwa">#REF!:OFFSET(#REF!,COUNTA(#REF!)-2,0)</definedName>
    <definedName name="kursy">#REF!</definedName>
    <definedName name="L">#REF!</definedName>
    <definedName name="lines">#REF!</definedName>
    <definedName name="linie">#REF!</definedName>
    <definedName name="linie_budzetowe_2_kody">#REF!</definedName>
    <definedName name="linie_budzetowe_2_wartosci">#REF!</definedName>
    <definedName name="linie_budzetowe_numery">#REF!</definedName>
    <definedName name="linie_budzetowe_tabela_1">#REF!</definedName>
    <definedName name="linie_budzetowe_tabela_2">#REF!</definedName>
    <definedName name="linie_budzetowe_tekst">#REF!</definedName>
    <definedName name="Linie2">#REF!</definedName>
    <definedName name="list1">#REF!</definedName>
    <definedName name="LISTA">#REF!</definedName>
    <definedName name="lista1">#REF!</definedName>
    <definedName name="lista2">#REF!</definedName>
    <definedName name="lista3">#REF!</definedName>
    <definedName name="lista5">#REF!</definedName>
    <definedName name="lkhklhjfd">#REF!</definedName>
    <definedName name="lkj">#REF!</definedName>
    <definedName name="Lm">#REF!</definedName>
    <definedName name="location">#REF!</definedName>
    <definedName name="LOCATIONS">#REF!</definedName>
    <definedName name="LogoHeader">#REF!</definedName>
    <definedName name="LogoList" localSheetId="0">OFFSET(LogoHeader,2,0,COUNTA(#REF!),1)</definedName>
    <definedName name="LogoList" localSheetId="4">OFFSET(LogoHeader,2,0,COUNTA(#REF!),1)</definedName>
    <definedName name="LogoList">OFFSET(LogoHeader,2,0,COUNTA(#REF!),1)</definedName>
    <definedName name="misja" localSheetId="0">#REF!</definedName>
    <definedName name="misja">#REF!</definedName>
    <definedName name="misje">#REF!</definedName>
    <definedName name="Month1">#REF!</definedName>
    <definedName name="Month2">#REF!</definedName>
    <definedName name="Month3">#REF!</definedName>
    <definedName name="Month4">#REF!</definedName>
    <definedName name="Month5">#REF!</definedName>
    <definedName name="Month6">#REF!</definedName>
    <definedName name="MPA">#REF!</definedName>
    <definedName name="n">#REF!</definedName>
    <definedName name="nat_cur_code">#REF!</definedName>
    <definedName name="nazwiska">#REF!</definedName>
    <definedName name="oddzialy_kod">#REF!:OFFSET(#REF!,COUNTA(#REF!)-2,0)</definedName>
    <definedName name="oddzialy_nazwa">#REF!:OFFSET(#REF!,COUNTA(#REF!)-2,0)</definedName>
    <definedName name="oddzialy_numery">#REF!</definedName>
    <definedName name="oddzialy_numery_1">#REF!</definedName>
    <definedName name="oddzialy_opisy">#REF!</definedName>
    <definedName name="oddzialy_tabela">#REF!</definedName>
    <definedName name="ok">#REF!</definedName>
    <definedName name="Outcome">#REF!</definedName>
    <definedName name="Outcome1">#REF!</definedName>
    <definedName name="Outcome10">#REF!</definedName>
    <definedName name="Outcome2">#REF!</definedName>
    <definedName name="Outcome3">#REF!</definedName>
    <definedName name="Outcome4">#REF!</definedName>
    <definedName name="Outcome5">#REF!</definedName>
    <definedName name="Outcome6">#REF!</definedName>
    <definedName name="Outcome7">#REF!</definedName>
    <definedName name="Outcome8">#REF!</definedName>
    <definedName name="Outcome9">#REF!</definedName>
    <definedName name="Overheads">#REF!</definedName>
    <definedName name="PartnerList">#REF!</definedName>
    <definedName name="PAYE">#REF!</definedName>
    <definedName name="payment">#REF!</definedName>
    <definedName name="period_end_1">#REF!</definedName>
    <definedName name="period_end_10">#REF!</definedName>
    <definedName name="period_end_11">#REF!</definedName>
    <definedName name="period_end_12">#REF!</definedName>
    <definedName name="period_end_2">#REF!</definedName>
    <definedName name="period_end_3">#REF!</definedName>
    <definedName name="period_end_4">#REF!</definedName>
    <definedName name="period_end_5">#REF!</definedName>
    <definedName name="period_end_6">#REF!</definedName>
    <definedName name="period_end_7">#REF!</definedName>
    <definedName name="period_end_8">#REF!</definedName>
    <definedName name="period_end_9">#REF!</definedName>
    <definedName name="PLACE">#REF!</definedName>
    <definedName name="płatnicy">#REF!</definedName>
    <definedName name="Position">#REF!</definedName>
    <definedName name="print_ar2">#REF!</definedName>
    <definedName name="_xlnm.Print_Area" localSheetId="0">BoQ!$A$1:$F$172</definedName>
    <definedName name="_xlnm.Print_Area" localSheetId="2">'Scope of work '!$A$1:$C$41</definedName>
    <definedName name="_xlnm.Print_Area" localSheetId="3">'Technical Specification'!$A$1:$B$62</definedName>
    <definedName name="_xlnm.Print_Area">#REF!</definedName>
    <definedName name="_xlnm.Print_Titles" localSheetId="0">BoQ!$1:$8</definedName>
    <definedName name="_xlnm.Print_Titles" localSheetId="2">'Scope of work '!$1:$7</definedName>
    <definedName name="_xlnm.Print_Titles" localSheetId="3">'Technical Specification'!$1:$8</definedName>
    <definedName name="PRINT_TITLES_MI">#REF!</definedName>
    <definedName name="printA">#REF!</definedName>
    <definedName name="printRP">#REF!</definedName>
    <definedName name="PROAREA_COL">#REF!</definedName>
    <definedName name="PROAREA_START">#REF!</definedName>
    <definedName name="project">#REF!</definedName>
    <definedName name="Projects">#REF!</definedName>
    <definedName name="projekt">#REF!</definedName>
    <definedName name="projekt_kod_2">#REF!</definedName>
    <definedName name="projekt_nazwa">#REF!:OFFSET(#REF!,COUNTA(#REF!)-2,0)</definedName>
    <definedName name="projekt_numery">#REF!</definedName>
    <definedName name="projekt_opisy">#REF!</definedName>
    <definedName name="projekt_tabela">#REF!</definedName>
    <definedName name="projekty">#REF!</definedName>
    <definedName name="Projekty_zrodla">#REF!:OFFSET(#REF!,COUNTA(#REF!)-2,0)</definedName>
    <definedName name="PWB">#REF!</definedName>
    <definedName name="Q">#REF!</definedName>
    <definedName name="qryReportToExcel">#REF!</definedName>
    <definedName name="rate">#REF!</definedName>
    <definedName name="rate_type">#REF!</definedName>
    <definedName name="Rate1">#REF!</definedName>
    <definedName name="Rate2">#REF!</definedName>
    <definedName name="Rate3">#REF!</definedName>
    <definedName name="RBALANCE">#REF!</definedName>
    <definedName name="revex">#REF!</definedName>
    <definedName name="rngCurrency">#REF!</definedName>
    <definedName name="Sc">#REF!</definedName>
    <definedName name="sectorlist">#REF!</definedName>
    <definedName name="sg">#REF!</definedName>
    <definedName name="sheet4">#REF!</definedName>
    <definedName name="SheetsTop">#REF!</definedName>
    <definedName name="SubA">#REF!</definedName>
    <definedName name="SubB">#REF!</definedName>
    <definedName name="SubC">#REF!</definedName>
    <definedName name="SubD">#REF!</definedName>
    <definedName name="Subdistrict_Pcode">#REF!</definedName>
    <definedName name="Subdistrict_Start">#REF!</definedName>
    <definedName name="SubTD">#REF!</definedName>
    <definedName name="SubTotalA">#REF!</definedName>
    <definedName name="SubTotalB">#REF!</definedName>
    <definedName name="SubTotalC">#REF!</definedName>
    <definedName name="SubTotalD">#REF!</definedName>
    <definedName name="Table1">#REF!</definedName>
    <definedName name="Tax">#REF!</definedName>
    <definedName name="TEST0">#REF!</definedName>
    <definedName name="TESTKEYS">#REF!</definedName>
    <definedName name="TESTVKEY">#REF!</definedName>
    <definedName name="TINC">#REF!</definedName>
    <definedName name="Tl">#REF!</definedName>
    <definedName name="tłumaczenia">#REF!</definedName>
    <definedName name="total">#REF!</definedName>
    <definedName name="total1">#REF!</definedName>
    <definedName name="TotalA">#REF!</definedName>
    <definedName name="TotalB">#REF!</definedName>
    <definedName name="TotalC">#REF!</definedName>
    <definedName name="TotalC1">#REF!</definedName>
    <definedName name="TotalD">#REF!</definedName>
    <definedName name="TotalExp">#REF!</definedName>
    <definedName name="TotalInc">#REF!</definedName>
    <definedName name="TotalLAS">#REF!</definedName>
    <definedName name="Type_of_location">#REF!</definedName>
    <definedName name="usd">#REF!</definedName>
    <definedName name="Version">#REF!</definedName>
    <definedName name="w">#REF!</definedName>
    <definedName name="waluty">#REF!</definedName>
    <definedName name="x">#REF!</definedName>
    <definedName name="y">#REF!</definedName>
    <definedName name="Zaliczki">#REF!</definedName>
    <definedName name="zrodla_nazwa">#REF!:OFFSET(#REF!,COUNTA(#REF!)-2,0)</definedName>
    <definedName name="zrodla_nazwa_kod">#REF!:OFFSET(#REF!,COUNTA(#REF!)-2,0)</definedName>
    <definedName name="zrodlo_fin_numery">#REF!</definedName>
    <definedName name="zrodlo_fin_tekst">#REF!</definedName>
    <definedName name="zrodlo_numery">#REF!</definedName>
    <definedName name="zrodlo_opis">#REF!</definedName>
    <definedName name="zrodlo_tabela">#REF!</definedName>
    <definedName name="zrodlo_tekst">#REF!</definedName>
    <definedName name="ドルレート">#REF!</definedName>
    <definedName name="国内旅費">#REF!</definedName>
    <definedName name="国内活動費">#REF!</definedName>
    <definedName name="国内費">#REF!</definedName>
    <definedName name="地域">#REF!</definedName>
    <definedName name="基本人件費">#REF!</definedName>
    <definedName name="基盤整備費合計">#REF!</definedName>
    <definedName name="報告書作成費合計">#REF!</definedName>
    <definedName name="契約年度">#REF!</definedName>
    <definedName name="技術交換費合計">#REF!</definedName>
    <definedName name="海外活動費">#REF!</definedName>
    <definedName name="現地業務費合計">#REF!</definedName>
    <definedName name="現地研修費合計">#REF!</definedName>
    <definedName name="現地通貨レート">#REF!</definedName>
    <definedName name="直人費コンサル">#REF!</definedName>
    <definedName name="直接経費">#REF!</definedName>
    <definedName name="直接費">#REF!</definedName>
    <definedName name="積算総額">#REF!</definedName>
    <definedName name="航空賃C">#REF!</definedName>
    <definedName name="航空賃Y">#REF!</definedName>
    <definedName name="設備・機材費">#REF!</definedName>
    <definedName name="資機材費合計">#REF!</definedName>
    <definedName name="通訳単価">#REF!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8" l="1"/>
  <c r="F18" i="8"/>
  <c r="F19" i="8"/>
  <c r="F20" i="8"/>
  <c r="D27" i="8"/>
  <c r="D26" i="8"/>
  <c r="D25" i="8"/>
  <c r="D24" i="8"/>
  <c r="D23" i="8"/>
  <c r="D22" i="8"/>
  <c r="F170" i="8" l="1"/>
  <c r="F171" i="8" l="1"/>
  <c r="F169" i="8" s="1"/>
  <c r="D139" i="8" l="1"/>
  <c r="D138" i="8"/>
  <c r="D137" i="8"/>
  <c r="D136" i="8"/>
  <c r="D132" i="8"/>
  <c r="D133" i="8" s="1"/>
  <c r="D122" i="8"/>
  <c r="D121" i="8"/>
  <c r="D120" i="8"/>
  <c r="D119" i="8"/>
  <c r="D115" i="8"/>
  <c r="D105" i="8"/>
  <c r="D104" i="8"/>
  <c r="D103" i="8"/>
  <c r="D102" i="8"/>
  <c r="D98" i="8"/>
  <c r="D99" i="8" s="1"/>
  <c r="D88" i="8"/>
  <c r="D87" i="8"/>
  <c r="D86" i="8"/>
  <c r="D85" i="8"/>
  <c r="D81" i="8"/>
  <c r="D71" i="8"/>
  <c r="D70" i="8"/>
  <c r="D69" i="8"/>
  <c r="D68" i="8"/>
  <c r="D64" i="8"/>
  <c r="D54" i="8"/>
  <c r="D53" i="8"/>
  <c r="D52" i="8"/>
  <c r="D51" i="8"/>
  <c r="D47" i="8"/>
  <c r="D36" i="8"/>
  <c r="D34" i="8"/>
  <c r="D30" i="8"/>
  <c r="D31" i="8" s="1"/>
  <c r="D156" i="8"/>
  <c r="D155" i="8"/>
  <c r="D154" i="8"/>
  <c r="D153" i="8"/>
  <c r="D149" i="8"/>
  <c r="D150" i="8" s="1"/>
  <c r="D37" i="8"/>
  <c r="D20" i="8"/>
  <c r="D117" i="8" l="1"/>
  <c r="D116" i="8"/>
  <c r="D49" i="8"/>
  <c r="D48" i="8"/>
  <c r="D66" i="8"/>
  <c r="D65" i="8"/>
  <c r="D83" i="8"/>
  <c r="D82" i="8"/>
  <c r="D134" i="8"/>
  <c r="D151" i="8"/>
  <c r="D100" i="8"/>
  <c r="D19" i="8" l="1"/>
  <c r="D35" i="8"/>
  <c r="D18" i="8"/>
  <c r="D17" i="8"/>
  <c r="D32" i="8"/>
  <c r="D13" i="8"/>
  <c r="D14" i="8" s="1"/>
  <c r="D15" i="8"/>
  <c r="F166" i="8" l="1"/>
  <c r="F167" i="8"/>
  <c r="F168" i="8"/>
  <c r="F165" i="8"/>
  <c r="F164" i="8" l="1"/>
  <c r="D163" i="8"/>
  <c r="F163" i="8" s="1"/>
  <c r="D162" i="8"/>
  <c r="F162" i="8" s="1"/>
  <c r="D161" i="8"/>
  <c r="F161" i="8" s="1"/>
  <c r="D160" i="8"/>
  <c r="F160" i="8" s="1"/>
  <c r="D159" i="8"/>
  <c r="F159" i="8" s="1"/>
  <c r="D158" i="8"/>
  <c r="F158" i="8" s="1"/>
  <c r="F156" i="8"/>
  <c r="F155" i="8"/>
  <c r="F154" i="8"/>
  <c r="F153" i="8"/>
  <c r="F151" i="8"/>
  <c r="F150" i="8"/>
  <c r="F149" i="8"/>
  <c r="D146" i="8"/>
  <c r="F146" i="8" s="1"/>
  <c r="D145" i="8"/>
  <c r="F145" i="8" s="1"/>
  <c r="D144" i="8"/>
  <c r="F144" i="8" s="1"/>
  <c r="D143" i="8"/>
  <c r="F143" i="8" s="1"/>
  <c r="D142" i="8"/>
  <c r="F142" i="8" s="1"/>
  <c r="D141" i="8"/>
  <c r="F141" i="8" s="1"/>
  <c r="F139" i="8"/>
  <c r="F138" i="8"/>
  <c r="F137" i="8"/>
  <c r="F136" i="8"/>
  <c r="F134" i="8"/>
  <c r="F133" i="8"/>
  <c r="F132" i="8"/>
  <c r="D129" i="8"/>
  <c r="F129" i="8" s="1"/>
  <c r="D128" i="8"/>
  <c r="F128" i="8" s="1"/>
  <c r="D127" i="8"/>
  <c r="F127" i="8" s="1"/>
  <c r="D126" i="8"/>
  <c r="F126" i="8" s="1"/>
  <c r="D125" i="8"/>
  <c r="F125" i="8" s="1"/>
  <c r="D124" i="8"/>
  <c r="F124" i="8" s="1"/>
  <c r="F122" i="8"/>
  <c r="F121" i="8"/>
  <c r="F120" i="8"/>
  <c r="F119" i="8"/>
  <c r="F117" i="8"/>
  <c r="F116" i="8"/>
  <c r="F115" i="8"/>
  <c r="D112" i="8"/>
  <c r="F112" i="8" s="1"/>
  <c r="D111" i="8"/>
  <c r="F111" i="8" s="1"/>
  <c r="D110" i="8"/>
  <c r="F110" i="8" s="1"/>
  <c r="D109" i="8"/>
  <c r="F109" i="8" s="1"/>
  <c r="D108" i="8"/>
  <c r="F108" i="8" s="1"/>
  <c r="D107" i="8"/>
  <c r="F107" i="8" s="1"/>
  <c r="F105" i="8"/>
  <c r="F104" i="8"/>
  <c r="F103" i="8"/>
  <c r="F102" i="8"/>
  <c r="F100" i="8"/>
  <c r="F99" i="8"/>
  <c r="F98" i="8"/>
  <c r="D95" i="8"/>
  <c r="F95" i="8" s="1"/>
  <c r="D94" i="8"/>
  <c r="F94" i="8" s="1"/>
  <c r="D93" i="8"/>
  <c r="F93" i="8" s="1"/>
  <c r="D92" i="8"/>
  <c r="F92" i="8" s="1"/>
  <c r="D91" i="8"/>
  <c r="F91" i="8" s="1"/>
  <c r="D90" i="8"/>
  <c r="F90" i="8" s="1"/>
  <c r="F88" i="8"/>
  <c r="F87" i="8"/>
  <c r="F86" i="8"/>
  <c r="F85" i="8"/>
  <c r="F83" i="8"/>
  <c r="F82" i="8"/>
  <c r="F81" i="8"/>
  <c r="D78" i="8"/>
  <c r="F78" i="8" s="1"/>
  <c r="D77" i="8"/>
  <c r="F77" i="8" s="1"/>
  <c r="D76" i="8"/>
  <c r="F76" i="8" s="1"/>
  <c r="D75" i="8"/>
  <c r="F75" i="8" s="1"/>
  <c r="D74" i="8"/>
  <c r="F74" i="8" s="1"/>
  <c r="D73" i="8"/>
  <c r="F73" i="8" s="1"/>
  <c r="F71" i="8"/>
  <c r="F70" i="8"/>
  <c r="F69" i="8"/>
  <c r="F68" i="8"/>
  <c r="F66" i="8"/>
  <c r="F65" i="8"/>
  <c r="F64" i="8"/>
  <c r="D61" i="8"/>
  <c r="F61" i="8" s="1"/>
  <c r="D60" i="8"/>
  <c r="F60" i="8" s="1"/>
  <c r="D59" i="8"/>
  <c r="F59" i="8" s="1"/>
  <c r="D58" i="8"/>
  <c r="F58" i="8" s="1"/>
  <c r="D57" i="8"/>
  <c r="F57" i="8" s="1"/>
  <c r="D56" i="8"/>
  <c r="F56" i="8" s="1"/>
  <c r="D44" i="8"/>
  <c r="F44" i="8" s="1"/>
  <c r="D43" i="8"/>
  <c r="F43" i="8" s="1"/>
  <c r="D42" i="8"/>
  <c r="F42" i="8" s="1"/>
  <c r="D41" i="8"/>
  <c r="F41" i="8" s="1"/>
  <c r="D40" i="8"/>
  <c r="F40" i="8" s="1"/>
  <c r="D39" i="8"/>
  <c r="F39" i="8" s="1"/>
  <c r="F47" i="8"/>
  <c r="F51" i="8"/>
  <c r="F52" i="8"/>
  <c r="F53" i="8"/>
  <c r="F54" i="8"/>
  <c r="F37" i="8"/>
  <c r="F36" i="8"/>
  <c r="F35" i="8"/>
  <c r="F34" i="8"/>
  <c r="F30" i="8"/>
  <c r="F27" i="8"/>
  <c r="F26" i="8"/>
  <c r="F25" i="8"/>
  <c r="F24" i="8"/>
  <c r="F23" i="8"/>
  <c r="F22" i="8"/>
  <c r="F15" i="8"/>
  <c r="N44" i="5"/>
  <c r="K43" i="5"/>
  <c r="K44" i="5" s="1"/>
  <c r="O42" i="5"/>
  <c r="Y7" i="5"/>
  <c r="C13" i="5" s="1"/>
  <c r="D19" i="5" s="1"/>
  <c r="S7" i="5"/>
  <c r="C10" i="5" s="1"/>
  <c r="E21" i="5" s="1"/>
  <c r="J7" i="5"/>
  <c r="C6" i="5" s="1"/>
  <c r="Y6" i="5"/>
  <c r="V6" i="5"/>
  <c r="S6" i="5"/>
  <c r="P6" i="5"/>
  <c r="J6" i="5"/>
  <c r="M5" i="5" s="1"/>
  <c r="M6" i="5" s="1"/>
  <c r="C7" i="5" s="1"/>
  <c r="C20" i="5" s="1"/>
  <c r="AB5" i="5"/>
  <c r="AB6" i="5" s="1"/>
  <c r="V5" i="5"/>
  <c r="V7" i="5" s="1"/>
  <c r="C11" i="5" s="1"/>
  <c r="P5" i="5"/>
  <c r="P7" i="5" s="1"/>
  <c r="C8" i="5" s="1"/>
  <c r="C21" i="5" s="1"/>
  <c r="J5" i="5"/>
  <c r="V4" i="5"/>
  <c r="C16" i="4"/>
  <c r="C15" i="4"/>
  <c r="C17" i="4" s="1"/>
  <c r="C28" i="4" s="1"/>
  <c r="G14" i="4"/>
  <c r="E28" i="4" s="1"/>
  <c r="E14" i="4"/>
  <c r="D28" i="4" s="1"/>
  <c r="C14" i="4"/>
  <c r="G13" i="4"/>
  <c r="E13" i="4"/>
  <c r="C13" i="4"/>
  <c r="G12" i="4"/>
  <c r="E12" i="4"/>
  <c r="C12" i="4"/>
  <c r="C10" i="4"/>
  <c r="C9" i="4"/>
  <c r="C11" i="4" s="1"/>
  <c r="C7" i="4"/>
  <c r="C6" i="4"/>
  <c r="C8" i="4" s="1"/>
  <c r="B28" i="4" s="1"/>
  <c r="F152" i="8" l="1"/>
  <c r="F148" i="8"/>
  <c r="F157" i="8"/>
  <c r="F135" i="8"/>
  <c r="F131" i="8"/>
  <c r="F140" i="8"/>
  <c r="F114" i="8"/>
  <c r="F118" i="8"/>
  <c r="F123" i="8"/>
  <c r="F101" i="8"/>
  <c r="F97" i="8"/>
  <c r="F106" i="8"/>
  <c r="F89" i="8"/>
  <c r="F80" i="8"/>
  <c r="F84" i="8"/>
  <c r="F63" i="8"/>
  <c r="F72" i="8"/>
  <c r="F67" i="8"/>
  <c r="F48" i="8"/>
  <c r="F50" i="8"/>
  <c r="F49" i="8"/>
  <c r="F55" i="8"/>
  <c r="F32" i="8"/>
  <c r="F38" i="8"/>
  <c r="F31" i="8"/>
  <c r="F16" i="8"/>
  <c r="F33" i="8"/>
  <c r="F21" i="8"/>
  <c r="F13" i="8"/>
  <c r="F14" i="8"/>
  <c r="J16" i="5"/>
  <c r="C18" i="5"/>
  <c r="I11" i="5"/>
  <c r="D21" i="5"/>
  <c r="AB7" i="5"/>
  <c r="C14" i="5" s="1"/>
  <c r="E19" i="5" s="1"/>
  <c r="F130" i="8" l="1"/>
  <c r="F147" i="8"/>
  <c r="F113" i="8"/>
  <c r="F96" i="8"/>
  <c r="F79" i="8"/>
  <c r="F62" i="8"/>
  <c r="F46" i="8"/>
  <c r="F45" i="8" s="1"/>
  <c r="F12" i="8"/>
  <c r="F11" i="8" s="1"/>
  <c r="F29" i="8"/>
  <c r="F28" i="8" s="1"/>
  <c r="F172" i="8" l="1"/>
</calcChain>
</file>

<file path=xl/sharedStrings.xml><?xml version="1.0" encoding="utf-8"?>
<sst xmlns="http://schemas.openxmlformats.org/spreadsheetml/2006/main" count="869" uniqueCount="407">
  <si>
    <t xml:space="preserve">Project Technical Documents </t>
  </si>
  <si>
    <t>Project Code: DR.0060</t>
  </si>
  <si>
    <t xml:space="preserve">Project Name : Bor Flood Risk Management </t>
  </si>
  <si>
    <t xml:space="preserve">Title: Bill of Quantites </t>
  </si>
  <si>
    <t xml:space="preserve">Date: 25 January 2024 </t>
  </si>
  <si>
    <t>Bill of Quantities</t>
  </si>
  <si>
    <t>The Bill of Quantities shall be read in conjunction with the drawings and the technical specifications, if any. All the works are to be executed as per the drawing and the supervising engineer's instruction and commitment to the following:-
1- All materials and tools must comply with international standards (ISO or ASTM) and be approved by the procurement committee before be priced.
2-The contractor should include in the offer the catalogues, photos and specifications of materials he will supply.
3-The contractor shall perform the surveying works using the appropriate surveying equipment before starting the installation works to determine the path line of excavation and installation depth.
4- Salt resistant cement is used in all construction works.
5- Commitment to using clean water for curing all concrete, buildings, and plastering works per IOM engineer's instruction.
6- The contractor should commit to partial hand over the completed phases of the works and obtain approval from the IOM's engineers before proceeding to the next phase as per the approved work plan after satisfactory inspection of the quantity and quality of works/goods delivered.
7- Commitment to levelling and cleaning the work site before and after the completion of the works, from the remnants of the waste to sites authorised by IOM engineers or local authorities.
8- The contractor is obliged to use safety and security measures while carrying out all work.
9- The contractor should submit a detailed work plan along with each purchase order after signing the contract.</t>
  </si>
  <si>
    <t>Ref.</t>
  </si>
  <si>
    <t>Description</t>
  </si>
  <si>
    <t>Unit</t>
  </si>
  <si>
    <t>Quantity</t>
  </si>
  <si>
    <t>Unit cost (USD)</t>
  </si>
  <si>
    <t>Cost (USD)</t>
  </si>
  <si>
    <t xml:space="preserve">M-8-3 Gated Culvert </t>
  </si>
  <si>
    <t>Site Preparation</t>
  </si>
  <si>
    <t>1.1.1</t>
  </si>
  <si>
    <t xml:space="preserve">Site cleaning including and not limited to removal of rubbish, stumps and any other material existed onsite that even might hinder the site preparation works, with disposal of removed material as per the pre-agreed disposal sites. And installation of safety barriers. as agreed before commencing the contract and shown in technical specifications. </t>
  </si>
  <si>
    <t>m2</t>
  </si>
  <si>
    <t>1.1.2</t>
  </si>
  <si>
    <r>
      <t xml:space="preserve">Earthwork in excavation, backfill and compaction for foundation of structures including culverts, Aprones, Head and Wing Walls, and beds of the whole area of site construction in all types of earth. With keeping larger excavation areas than the construction area for all sides to facilitate the construction process. with adhering to the appropriate depths for each site separately, based on the site’s survey studies and drawing Number </t>
    </r>
    <r>
      <rPr>
        <b/>
        <sz val="10"/>
        <color theme="1"/>
        <rFont val="Calibri"/>
        <family val="2"/>
        <scheme val="minor"/>
      </rPr>
      <t>BORFMP-DWGS-001</t>
    </r>
    <r>
      <rPr>
        <sz val="10"/>
        <color theme="1"/>
        <rFont val="Calibri"/>
        <family val="2"/>
        <scheme val="minor"/>
      </rPr>
      <t>.</t>
    </r>
  </si>
  <si>
    <t>m3</t>
  </si>
  <si>
    <t>1.1.3</t>
  </si>
  <si>
    <t xml:space="preserve">Sub-base site Leveling/bedding course using agreed material boulder stones, sharp sand and laterite and compaction works before the construction as per the drawings and upon the site engineer satisfaction. </t>
  </si>
  <si>
    <t>Culvert</t>
  </si>
  <si>
    <t>1.2.1</t>
  </si>
  <si>
    <r>
      <t xml:space="preserve">Providing and laying Cement Concrete with 350kg/m3 for </t>
    </r>
    <r>
      <rPr>
        <b/>
        <sz val="10"/>
        <rFont val="Calibri"/>
        <family val="2"/>
        <scheme val="minor"/>
      </rPr>
      <t>beds</t>
    </r>
    <r>
      <rPr>
        <sz val="10"/>
        <rFont val="Calibri"/>
        <family val="2"/>
        <scheme val="minor"/>
      </rPr>
      <t xml:space="preserve"> to construct the large culvert on, with area of </t>
    </r>
    <r>
      <rPr>
        <b/>
        <sz val="10"/>
        <rFont val="Calibri"/>
        <family val="2"/>
        <scheme val="minor"/>
      </rPr>
      <t>65.28</t>
    </r>
    <r>
      <rPr>
        <sz val="10"/>
        <rFont val="Calibri"/>
        <family val="2"/>
        <scheme val="minor"/>
      </rPr>
      <t xml:space="preserve">m2,  includes framework and all needed materials to complete the works. As per drawing no. </t>
    </r>
    <r>
      <rPr>
        <b/>
        <u/>
        <sz val="10"/>
        <rFont val="Calibri"/>
        <family val="2"/>
        <scheme val="minor"/>
      </rPr>
      <t>BORFMP-DWGS-001</t>
    </r>
    <r>
      <rPr>
        <sz val="10"/>
        <rFont val="Calibri"/>
        <family val="2"/>
        <scheme val="minor"/>
      </rPr>
      <t xml:space="preserve"> and Technical Specifications </t>
    </r>
  </si>
  <si>
    <t>1.2.2</t>
  </si>
  <si>
    <r>
      <t xml:space="preserve">Providing and Casting Concrete with 350kg/m3 for </t>
    </r>
    <r>
      <rPr>
        <b/>
        <sz val="10"/>
        <rFont val="Calibri"/>
        <family val="2"/>
        <scheme val="minor"/>
      </rPr>
      <t>both (apron for all &amp; Per Box)</t>
    </r>
    <r>
      <rPr>
        <sz val="10"/>
        <rFont val="Calibri"/>
        <family val="2"/>
        <scheme val="minor"/>
      </rPr>
      <t xml:space="preserve">, with area of </t>
    </r>
    <r>
      <rPr>
        <b/>
        <sz val="10"/>
        <rFont val="Calibri"/>
        <family val="2"/>
        <scheme val="minor"/>
      </rPr>
      <t>19.33</t>
    </r>
    <r>
      <rPr>
        <sz val="10"/>
        <rFont val="Calibri"/>
        <family val="2"/>
        <scheme val="minor"/>
      </rPr>
      <t xml:space="preserve">m2,  includes framework and all needed materials to complete the works. As per drawing no. </t>
    </r>
    <r>
      <rPr>
        <b/>
        <u/>
        <sz val="10"/>
        <rFont val="Calibri"/>
        <family val="2"/>
        <scheme val="minor"/>
      </rPr>
      <t>BORFMP-DWGS-001</t>
    </r>
    <r>
      <rPr>
        <sz val="10"/>
        <rFont val="Calibri"/>
        <family val="2"/>
        <scheme val="minor"/>
      </rPr>
      <t xml:space="preserve"> and Technical Specifications</t>
    </r>
  </si>
  <si>
    <t>1.2.3</t>
  </si>
  <si>
    <r>
      <t xml:space="preserve">Providing and Installing Pre-casted Reinforced Cement Concrete with 350kg/m3 and 12mm diameter bars at 150mm c/c both ways on 2 faces for </t>
    </r>
    <r>
      <rPr>
        <b/>
        <sz val="10"/>
        <color theme="1"/>
        <rFont val="Calibri"/>
        <family val="2"/>
        <scheme val="minor"/>
      </rPr>
      <t xml:space="preserve">culverts </t>
    </r>
    <r>
      <rPr>
        <b/>
        <u/>
        <sz val="10"/>
        <color theme="1"/>
        <rFont val="Calibri"/>
        <family val="2"/>
        <scheme val="minor"/>
      </rPr>
      <t>boxes/barrels</t>
    </r>
    <r>
      <rPr>
        <b/>
        <sz val="10"/>
        <color theme="1"/>
        <rFont val="Calibri"/>
        <family val="2"/>
        <scheme val="minor"/>
      </rPr>
      <t xml:space="preserve"> and joints in between</t>
    </r>
    <r>
      <rPr>
        <sz val="10"/>
        <color theme="1"/>
        <rFont val="Calibri"/>
        <family val="2"/>
        <scheme val="minor"/>
      </rPr>
      <t xml:space="preserve"> with centering &amp; shuttering, includes all needed materials and accessories to complete the works. As per drawing no.  </t>
    </r>
    <r>
      <rPr>
        <b/>
        <sz val="10"/>
        <color theme="1"/>
        <rFont val="Calibri"/>
        <family val="2"/>
        <scheme val="minor"/>
      </rPr>
      <t>BORFMP-DWGS-001</t>
    </r>
    <r>
      <rPr>
        <sz val="10"/>
        <color theme="1"/>
        <rFont val="Calibri"/>
        <family val="2"/>
        <scheme val="minor"/>
      </rPr>
      <t xml:space="preserve"> &amp; Technical Specifications</t>
    </r>
  </si>
  <si>
    <t>1.2.4</t>
  </si>
  <si>
    <r>
      <t xml:space="preserve">Providing and laying Reinforced Cement Concrete with  with 350kg/m3 and 12mm diameter bars at 150mm c/c both ways on 2 faces in sub-structure &amp; super-structure for  </t>
    </r>
    <r>
      <rPr>
        <b/>
        <sz val="10"/>
        <color theme="1"/>
        <rFont val="Calibri"/>
        <family val="2"/>
        <scheme val="minor"/>
      </rPr>
      <t>wingwalls and headwalls</t>
    </r>
    <r>
      <rPr>
        <sz val="10"/>
        <color theme="1"/>
        <rFont val="Calibri"/>
        <family val="2"/>
        <scheme val="minor"/>
      </rPr>
      <t xml:space="preserve">, with centering &amp; shuttering, includes all needed materials and accessories to complete the works. As per drawing no. </t>
    </r>
    <r>
      <rPr>
        <b/>
        <sz val="10"/>
        <color theme="1"/>
        <rFont val="Calibri"/>
        <family val="2"/>
        <scheme val="minor"/>
      </rPr>
      <t xml:space="preserve"> BORFMP-DWGS-001</t>
    </r>
    <r>
      <rPr>
        <sz val="10"/>
        <color theme="1"/>
        <rFont val="Calibri"/>
        <family val="2"/>
        <scheme val="minor"/>
      </rPr>
      <t xml:space="preserve"> and Technical Specifications</t>
    </r>
  </si>
  <si>
    <t>Flap Gates</t>
  </si>
  <si>
    <t>1.3.1</t>
  </si>
  <si>
    <r>
      <t xml:space="preserve">Supply and install 12 mm thick steel </t>
    </r>
    <r>
      <rPr>
        <b/>
        <sz val="10"/>
        <color theme="1"/>
        <rFont val="Calibri"/>
        <family val="2"/>
        <scheme val="minor"/>
      </rPr>
      <t>flap door</t>
    </r>
    <r>
      <rPr>
        <sz val="10"/>
        <color theme="1"/>
        <rFont val="Calibri"/>
        <family val="2"/>
        <scheme val="minor"/>
      </rPr>
      <t xml:space="preserve"> (Density = 7850 kg/m3) to fabricate flap gate with dimensions of 1200 mm X 1200 mm </t>
    </r>
  </si>
  <si>
    <t xml:space="preserve">Kilogram </t>
  </si>
  <si>
    <t>1.3.2</t>
  </si>
  <si>
    <r>
      <t xml:space="preserve">Supply and install steel </t>
    </r>
    <r>
      <rPr>
        <b/>
        <sz val="10"/>
        <color theme="1"/>
        <rFont val="Calibri"/>
        <family val="2"/>
        <scheme val="minor"/>
      </rPr>
      <t>frame</t>
    </r>
    <r>
      <rPr>
        <sz val="10"/>
        <color theme="1"/>
        <rFont val="Calibri"/>
        <family val="2"/>
        <scheme val="minor"/>
      </rPr>
      <t xml:space="preserve"> (Density = 7850 kg/m3) with dimensions of 12 mm thick X 100 mm wide</t>
    </r>
  </si>
  <si>
    <t>1.3.3</t>
  </si>
  <si>
    <r>
      <t xml:space="preserve">Supply and install </t>
    </r>
    <r>
      <rPr>
        <b/>
        <sz val="10"/>
        <color theme="1"/>
        <rFont val="Calibri"/>
        <family val="2"/>
        <scheme val="minor"/>
      </rPr>
      <t>Three steel hinges</t>
    </r>
    <r>
      <rPr>
        <sz val="10"/>
        <color theme="1"/>
        <rFont val="Calibri"/>
        <family val="2"/>
        <scheme val="minor"/>
      </rPr>
      <t xml:space="preserve"> (Density = 7850 kg/m3) with the dimensions of 70 mm ID 90 mm OD 100 mm long</t>
    </r>
  </si>
  <si>
    <t>1.3.4</t>
  </si>
  <si>
    <r>
      <t xml:space="preserve">Supply and install one </t>
    </r>
    <r>
      <rPr>
        <b/>
        <sz val="10"/>
        <color theme="1"/>
        <rFont val="Calibri"/>
        <family val="2"/>
        <scheme val="minor"/>
      </rPr>
      <t>Seal</t>
    </r>
    <r>
      <rPr>
        <sz val="10"/>
        <color theme="1"/>
        <rFont val="Calibri"/>
        <family val="2"/>
        <scheme val="minor"/>
      </rPr>
      <t xml:space="preserve"> fabricated from Neoprene sheets (Density = 1230 Kg/m3) with dimensions of 20 mm thick and 50 mm wide </t>
    </r>
  </si>
  <si>
    <t>1.3.5</t>
  </si>
  <si>
    <r>
      <t xml:space="preserve">Supply and install </t>
    </r>
    <r>
      <rPr>
        <b/>
        <sz val="10"/>
        <color theme="1"/>
        <rFont val="Calibri"/>
        <family val="2"/>
        <scheme val="minor"/>
      </rPr>
      <t>three bushes</t>
    </r>
    <r>
      <rPr>
        <sz val="10"/>
        <color theme="1"/>
        <rFont val="Calibri"/>
        <family val="2"/>
        <scheme val="minor"/>
      </rPr>
      <t xml:space="preserve"> fabricated from bronze rods (Density = 8770 Kg/m3) with the dimensions of 50 mm ID X 70 mm  OD X 100 mm long</t>
    </r>
  </si>
  <si>
    <t>1.3.6</t>
  </si>
  <si>
    <r>
      <t xml:space="preserve">Supply and install </t>
    </r>
    <r>
      <rPr>
        <b/>
        <sz val="10"/>
        <color theme="1"/>
        <rFont val="Calibri"/>
        <family val="2"/>
        <scheme val="minor"/>
      </rPr>
      <t>three hinges pins</t>
    </r>
    <r>
      <rPr>
        <sz val="10"/>
        <color theme="1"/>
        <rFont val="Calibri"/>
        <family val="2"/>
        <scheme val="minor"/>
      </rPr>
      <t xml:space="preserve"> fabricated from Stainless Steel Rod (Density =7850 kg/m3) with the dimensions of 50 mm X100 mm</t>
    </r>
  </si>
  <si>
    <t xml:space="preserve">H-9-1A Gated Dike Culvert </t>
  </si>
  <si>
    <t>2.1.1</t>
  </si>
  <si>
    <t>2.1.2</t>
  </si>
  <si>
    <t>2.1.3</t>
  </si>
  <si>
    <t>2.2.1</t>
  </si>
  <si>
    <r>
      <t xml:space="preserve">Providing and laying Cement Concrete with 350kg/m3 for </t>
    </r>
    <r>
      <rPr>
        <b/>
        <sz val="10"/>
        <color theme="1"/>
        <rFont val="Calibri"/>
        <family val="2"/>
        <scheme val="minor"/>
      </rPr>
      <t>beds</t>
    </r>
    <r>
      <rPr>
        <sz val="10"/>
        <color theme="1"/>
        <rFont val="Calibri"/>
        <family val="2"/>
        <scheme val="minor"/>
      </rPr>
      <t xml:space="preserve"> to construct the large culvert on, with area of </t>
    </r>
    <r>
      <rPr>
        <b/>
        <sz val="10"/>
        <rFont val="Calibri"/>
        <family val="2"/>
        <scheme val="minor"/>
      </rPr>
      <t>65.28</t>
    </r>
    <r>
      <rPr>
        <sz val="10"/>
        <color theme="1"/>
        <rFont val="Calibri"/>
        <family val="2"/>
        <scheme val="minor"/>
      </rPr>
      <t xml:space="preserve">m2,  includes framework and all needed materials to complete the works. As per drawing no. </t>
    </r>
    <r>
      <rPr>
        <b/>
        <sz val="10"/>
        <color theme="1"/>
        <rFont val="Calibri"/>
        <family val="2"/>
        <scheme val="minor"/>
      </rPr>
      <t>BORFMP-DWGS-001</t>
    </r>
    <r>
      <rPr>
        <sz val="10"/>
        <color theme="1"/>
        <rFont val="Calibri"/>
        <family val="2"/>
        <scheme val="minor"/>
      </rPr>
      <t xml:space="preserve"> and Technical Specifications </t>
    </r>
  </si>
  <si>
    <t>2.2.2</t>
  </si>
  <si>
    <r>
      <t xml:space="preserve">Providing and Casting Concrete with 350kg/m3 for </t>
    </r>
    <r>
      <rPr>
        <b/>
        <sz val="10"/>
        <color theme="1"/>
        <rFont val="Calibri"/>
        <family val="2"/>
        <scheme val="minor"/>
      </rPr>
      <t>both (apron  for all &amp; Per Box)</t>
    </r>
    <r>
      <rPr>
        <sz val="10"/>
        <color theme="1"/>
        <rFont val="Calibri"/>
        <family val="2"/>
        <scheme val="minor"/>
      </rPr>
      <t xml:space="preserve">, with area of </t>
    </r>
    <r>
      <rPr>
        <b/>
        <sz val="10"/>
        <rFont val="Calibri"/>
        <family val="2"/>
        <scheme val="minor"/>
      </rPr>
      <t>19.33</t>
    </r>
    <r>
      <rPr>
        <sz val="10"/>
        <color theme="1"/>
        <rFont val="Calibri"/>
        <family val="2"/>
        <scheme val="minor"/>
      </rPr>
      <t xml:space="preserve">m2,  includes framework and all needed materials to complete the works. As per drawing no. </t>
    </r>
    <r>
      <rPr>
        <b/>
        <sz val="10"/>
        <color theme="1"/>
        <rFont val="Calibri"/>
        <family val="2"/>
        <scheme val="minor"/>
      </rPr>
      <t>BORFMP-DWGS-001</t>
    </r>
    <r>
      <rPr>
        <sz val="10"/>
        <color theme="1"/>
        <rFont val="Calibri"/>
        <family val="2"/>
        <scheme val="minor"/>
      </rPr>
      <t xml:space="preserve"> and Technical Specifications</t>
    </r>
  </si>
  <si>
    <t>2.2.3</t>
  </si>
  <si>
    <t>2.2.4</t>
  </si>
  <si>
    <t>2.3.1</t>
  </si>
  <si>
    <t>2.3.2</t>
  </si>
  <si>
    <t>2.3.3</t>
  </si>
  <si>
    <t>2.3.4</t>
  </si>
  <si>
    <t>2.3.5</t>
  </si>
  <si>
    <t>2.3.6</t>
  </si>
  <si>
    <t>H 9-1B Gated Dike Culvert</t>
  </si>
  <si>
    <t>3.1.1</t>
  </si>
  <si>
    <t>3.1.2</t>
  </si>
  <si>
    <t>3.1.3</t>
  </si>
  <si>
    <t>3.2.1</t>
  </si>
  <si>
    <t>3.2.2</t>
  </si>
  <si>
    <t>3.2.3</t>
  </si>
  <si>
    <r>
      <t xml:space="preserve">Providing and Installing Pre-casted Reinforced Cement Concrete with 350kg/m3 and 12mm diameter bars at 150mm c/c both ways on 2 faces for </t>
    </r>
    <r>
      <rPr>
        <b/>
        <sz val="10"/>
        <color theme="1"/>
        <rFont val="Calibri"/>
        <family val="2"/>
        <scheme val="minor"/>
      </rPr>
      <t>culverts boxes/barrels and joints in between</t>
    </r>
    <r>
      <rPr>
        <sz val="10"/>
        <color theme="1"/>
        <rFont val="Calibri"/>
        <family val="2"/>
        <scheme val="minor"/>
      </rPr>
      <t xml:space="preserve"> with centering &amp; shuttering, includes all needed materials and accessories to complete the works. As per drawing no.  </t>
    </r>
    <r>
      <rPr>
        <b/>
        <sz val="10"/>
        <color theme="1"/>
        <rFont val="Calibri"/>
        <family val="2"/>
        <scheme val="minor"/>
      </rPr>
      <t>BORFMP-DWGS-001</t>
    </r>
    <r>
      <rPr>
        <sz val="10"/>
        <color theme="1"/>
        <rFont val="Calibri"/>
        <family val="2"/>
        <scheme val="minor"/>
      </rPr>
      <t xml:space="preserve"> &amp; Technical Specifications</t>
    </r>
  </si>
  <si>
    <t>3.2.4</t>
  </si>
  <si>
    <t>3.3.1</t>
  </si>
  <si>
    <t>3.3.2</t>
  </si>
  <si>
    <t>3.3.3</t>
  </si>
  <si>
    <t>3.3.4</t>
  </si>
  <si>
    <t>3.3.5</t>
  </si>
  <si>
    <t>3.3.6</t>
  </si>
  <si>
    <t>H 9-1C Gated Dike Culvert</t>
  </si>
  <si>
    <t>4.1.1</t>
  </si>
  <si>
    <t>4.1.2</t>
  </si>
  <si>
    <t>4.1.3</t>
  </si>
  <si>
    <t>4.2.1</t>
  </si>
  <si>
    <t>4.2.2</t>
  </si>
  <si>
    <t>4.2.3</t>
  </si>
  <si>
    <t>4.2.4</t>
  </si>
  <si>
    <t>4.3.1</t>
  </si>
  <si>
    <t>4.3.2</t>
  </si>
  <si>
    <t>4.3.3</t>
  </si>
  <si>
    <t>4.3.4</t>
  </si>
  <si>
    <t>4.3.5</t>
  </si>
  <si>
    <t>4.3.6</t>
  </si>
  <si>
    <t>H 9-1D Gated Dike Culvert</t>
  </si>
  <si>
    <t>5.1.1</t>
  </si>
  <si>
    <t>5.1.2</t>
  </si>
  <si>
    <t>5.1.3</t>
  </si>
  <si>
    <t>5.2.1</t>
  </si>
  <si>
    <t>5.2.2</t>
  </si>
  <si>
    <t>5.2.3</t>
  </si>
  <si>
    <t>5.2.4</t>
  </si>
  <si>
    <t>5.3.1</t>
  </si>
  <si>
    <t>5.3.2</t>
  </si>
  <si>
    <t>5.3.3</t>
  </si>
  <si>
    <t>5.3.4</t>
  </si>
  <si>
    <t>5.3.5</t>
  </si>
  <si>
    <t>5.3.6</t>
  </si>
  <si>
    <t>H 9-1E Gated Dike Culvert</t>
  </si>
  <si>
    <t>6.1.1</t>
  </si>
  <si>
    <t>6.1.2</t>
  </si>
  <si>
    <t>6.1.3</t>
  </si>
  <si>
    <t>6.2.1</t>
  </si>
  <si>
    <t>6.2.2</t>
  </si>
  <si>
    <t>6.2.3</t>
  </si>
  <si>
    <t>6.2.4</t>
  </si>
  <si>
    <t>6.3.1</t>
  </si>
  <si>
    <t>6.3.2</t>
  </si>
  <si>
    <t>6.3.3</t>
  </si>
  <si>
    <t>6.3.4</t>
  </si>
  <si>
    <t>6.3.5</t>
  </si>
  <si>
    <t>6.3.6</t>
  </si>
  <si>
    <t>H 9-1F Gated Dike Culvert</t>
  </si>
  <si>
    <t>7.1.1</t>
  </si>
  <si>
    <t>7.1.2</t>
  </si>
  <si>
    <t>7.1.3</t>
  </si>
  <si>
    <t>7.2.1</t>
  </si>
  <si>
    <t>7.2.2</t>
  </si>
  <si>
    <t>7.2.3</t>
  </si>
  <si>
    <t>7.2.4</t>
  </si>
  <si>
    <t>7.3.1</t>
  </si>
  <si>
    <t>7.3.2</t>
  </si>
  <si>
    <t>7.3.3</t>
  </si>
  <si>
    <t>7.3.4</t>
  </si>
  <si>
    <t>7.3.5</t>
  </si>
  <si>
    <t>7.3.6</t>
  </si>
  <si>
    <t>H 9-1G Gated Dike Culvert</t>
  </si>
  <si>
    <t>8.1.1</t>
  </si>
  <si>
    <t>8.1.2</t>
  </si>
  <si>
    <t>8.1.3</t>
  </si>
  <si>
    <t>8.2.1</t>
  </si>
  <si>
    <t>8.2.2</t>
  </si>
  <si>
    <t>8.2.3</t>
  </si>
  <si>
    <t>8.2.4</t>
  </si>
  <si>
    <t>8.3.1</t>
  </si>
  <si>
    <t>8.3.2</t>
  </si>
  <si>
    <t>8.3.3</t>
  </si>
  <si>
    <t>8.3.4</t>
  </si>
  <si>
    <t>8.3.5</t>
  </si>
  <si>
    <t>8.3.6</t>
  </si>
  <si>
    <t>H 9-2 Gated Dike Culvert</t>
  </si>
  <si>
    <t>9.1.1</t>
  </si>
  <si>
    <t>9.1.2</t>
  </si>
  <si>
    <t>9.1.3</t>
  </si>
  <si>
    <t>9.2.1</t>
  </si>
  <si>
    <r>
      <t xml:space="preserve">Providing and laying Cement Concrete with 350kg/m3 for </t>
    </r>
    <r>
      <rPr>
        <b/>
        <sz val="10"/>
        <rFont val="Calibri"/>
        <family val="2"/>
        <scheme val="minor"/>
      </rPr>
      <t>beds</t>
    </r>
    <r>
      <rPr>
        <sz val="10"/>
        <rFont val="Calibri"/>
        <family val="2"/>
        <scheme val="minor"/>
      </rPr>
      <t xml:space="preserve"> to construct the large culvert on, with area of </t>
    </r>
    <r>
      <rPr>
        <b/>
        <sz val="10"/>
        <rFont val="Calibri"/>
        <family val="2"/>
        <scheme val="minor"/>
      </rPr>
      <t>186.00</t>
    </r>
    <r>
      <rPr>
        <sz val="10"/>
        <rFont val="Calibri"/>
        <family val="2"/>
        <scheme val="minor"/>
      </rPr>
      <t xml:space="preserve"> m2,  includes framework and all needed materials to complete the works. As per</t>
    </r>
    <r>
      <rPr>
        <u/>
        <sz val="10"/>
        <rFont val="Calibri"/>
        <family val="2"/>
        <scheme val="minor"/>
      </rPr>
      <t xml:space="preserve"> </t>
    </r>
    <r>
      <rPr>
        <sz val="10"/>
        <rFont val="Calibri"/>
        <family val="2"/>
        <scheme val="minor"/>
      </rPr>
      <t>drawing no.</t>
    </r>
    <r>
      <rPr>
        <u/>
        <sz val="10"/>
        <rFont val="Calibri"/>
        <family val="2"/>
        <scheme val="minor"/>
      </rPr>
      <t xml:space="preserve"> </t>
    </r>
    <r>
      <rPr>
        <b/>
        <sz val="10"/>
        <rFont val="Calibri"/>
        <family val="2"/>
        <scheme val="minor"/>
      </rPr>
      <t>BORFMP-DWGS-001</t>
    </r>
    <r>
      <rPr>
        <sz val="10"/>
        <rFont val="Calibri"/>
        <family val="2"/>
        <scheme val="minor"/>
      </rPr>
      <t xml:space="preserve"> and Technical Specifications </t>
    </r>
  </si>
  <si>
    <t>9.2.2</t>
  </si>
  <si>
    <r>
      <t xml:space="preserve">Providing and Casting Concrete with 350kg/m3 for </t>
    </r>
    <r>
      <rPr>
        <b/>
        <sz val="10"/>
        <color theme="1"/>
        <rFont val="Calibri"/>
        <family val="2"/>
        <scheme val="minor"/>
      </rPr>
      <t>both (apron  for all &amp; Per Box)</t>
    </r>
    <r>
      <rPr>
        <sz val="10"/>
        <color theme="1"/>
        <rFont val="Calibri"/>
        <family val="2"/>
        <scheme val="minor"/>
      </rPr>
      <t xml:space="preserve">, with area of </t>
    </r>
    <r>
      <rPr>
        <b/>
        <sz val="10"/>
        <color theme="1"/>
        <rFont val="Calibri"/>
        <family val="2"/>
        <scheme val="minor"/>
      </rPr>
      <t>55.33</t>
    </r>
    <r>
      <rPr>
        <sz val="10"/>
        <color theme="1"/>
        <rFont val="Calibri"/>
        <family val="2"/>
        <scheme val="minor"/>
      </rPr>
      <t xml:space="preserve">m2,  includes framework and all needed materials to complete the works. As per drawing no. </t>
    </r>
    <r>
      <rPr>
        <b/>
        <sz val="10"/>
        <color theme="1"/>
        <rFont val="Calibri"/>
        <family val="2"/>
        <scheme val="minor"/>
      </rPr>
      <t>BORFMP-DWGS-001</t>
    </r>
    <r>
      <rPr>
        <sz val="10"/>
        <color theme="1"/>
        <rFont val="Calibri"/>
        <family val="2"/>
        <scheme val="minor"/>
      </rPr>
      <t xml:space="preserve"> and Technical Specifications</t>
    </r>
  </si>
  <si>
    <t>9.2.3</t>
  </si>
  <si>
    <t>9.2.4</t>
  </si>
  <si>
    <t>9.3.1</t>
  </si>
  <si>
    <t>9.3.2</t>
  </si>
  <si>
    <t>9.3.3</t>
  </si>
  <si>
    <t>9.3.4</t>
  </si>
  <si>
    <t>9.3.5</t>
  </si>
  <si>
    <t>9.3.6</t>
  </si>
  <si>
    <t>H-9-3 Pumping Station</t>
  </si>
  <si>
    <t>Excavation of the natural ground to the required levels for pumping station, pipes and fittings and cart away all debris from the site to dump site approved by IOM's Engineer. All extra quantities of hard core resulted from excavation works in site are owned to the project and should be removed or reused according to IOM's Engineer acceptance, all in accordance with the technical specifications and IOMs Engineer's instructions</t>
  </si>
  <si>
    <t xml:space="preserve">Cubic Meter </t>
  </si>
  <si>
    <r>
      <t xml:space="preserve">Supply materials and construct a reinforced concrete substructure elevated about 2 meters above the existing ground level on which the pump will be installed. The ground slab is to be 350kg/m3 reinforced with 2 layers of 16mm bars at 200mm c/c both ways. The ground slab should be well cured to support the weight of the pump </t>
    </r>
    <r>
      <rPr>
        <sz val="10"/>
        <color rgb="FFFF0000"/>
        <rFont val="Calibri"/>
        <family val="2"/>
        <scheme val="minor"/>
      </rPr>
      <t>as well as the vibratory action of the pump during use</t>
    </r>
    <r>
      <rPr>
        <sz val="10"/>
        <color theme="1"/>
        <rFont val="Calibri"/>
        <family val="2"/>
        <scheme val="minor"/>
      </rPr>
      <t>.</t>
    </r>
    <r>
      <rPr>
        <sz val="10"/>
        <color rgb="FFFF0000"/>
        <rFont val="Calibri"/>
        <family val="2"/>
        <scheme val="minor"/>
      </rPr>
      <t xml:space="preserve"> The Contractor may as well suggest an appropriate concrete slab design depending on the type of pump that he/she will supply. </t>
    </r>
    <r>
      <rPr>
        <sz val="10"/>
        <color theme="1"/>
        <rFont val="Calibri"/>
        <family val="2"/>
        <scheme val="minor"/>
      </rPr>
      <t>The superstructure shed is to be made of hollow sections (80x40x3mm for the columns and rafters, and 40x40x2mm for the purlins) and covered using G28 blue prepainted sheets with the aid of self tapping screws.</t>
    </r>
  </si>
  <si>
    <t>LS</t>
  </si>
  <si>
    <t xml:space="preserve">Supply and install fixed water pump, With an output of more than 3000 m3 per hour, a maximum headof 25 mwc, including Priming system of MP 100 (100 m3/h), speed 850 rpm, Diesel or electrical driven, and preferably Volvo Penta engine. </t>
  </si>
  <si>
    <t xml:space="preserve">Piece </t>
  </si>
  <si>
    <r>
      <t xml:space="preserve">Supply and install </t>
    </r>
    <r>
      <rPr>
        <sz val="10"/>
        <color rgb="FFFF0000"/>
        <rFont val="Calibri"/>
        <family val="2"/>
        <scheme val="minor"/>
      </rPr>
      <t xml:space="preserve">flexible </t>
    </r>
    <r>
      <rPr>
        <sz val="10"/>
        <color theme="1"/>
        <rFont val="Calibri"/>
        <family val="2"/>
        <scheme val="minor"/>
      </rPr>
      <t xml:space="preserve">Corrugated High Density Polyethylene Pipes (HDPE), including all fittings needed to be installed from the new pump to the outlet point. </t>
    </r>
    <r>
      <rPr>
        <sz val="10"/>
        <color rgb="FFFF0000"/>
        <rFont val="Calibri"/>
        <family val="2"/>
        <scheme val="minor"/>
      </rPr>
      <t>This price is inclusive of a well stainless steel fabricated 100cm x 100cm x 100cm surrounded with a fine-mesh like screen at the inlet water pipe.</t>
    </r>
  </si>
  <si>
    <t xml:space="preserve">Meter Length </t>
  </si>
  <si>
    <t>H-9-1 Primary Dike rehabilitation</t>
  </si>
  <si>
    <t xml:space="preserve">Site cleaning including and not limited to removal of rubbish, stumps and any other material existed onsite that even might hinder the Dike repair works, with disposal of removed material as per the pre-agreed disposal sites. Some places may be very bushy whose vegetation may need clearance. This price also includes installation of safety barriers. as agreed before commencing the contract and shown in technical specifications. </t>
  </si>
  <si>
    <t>Excavate, repair and rehabilitate the existing primary Dike as per the required specifications. The earth used for this work should be well compacted in layers  for maximum strength.</t>
  </si>
  <si>
    <t>Total</t>
  </si>
  <si>
    <t>Title: Additional BFRMP infrastructure locations</t>
  </si>
  <si>
    <t xml:space="preserve">List of Locations </t>
  </si>
  <si>
    <t>ID</t>
  </si>
  <si>
    <t xml:space="preserve">GPS Coordinates </t>
  </si>
  <si>
    <t xml:space="preserve">Intervention type </t>
  </si>
  <si>
    <t>Scenario</t>
  </si>
  <si>
    <t xml:space="preserve">Drawing Reference </t>
  </si>
  <si>
    <t>8 Bor Market</t>
  </si>
  <si>
    <t>M-8-3</t>
  </si>
  <si>
    <t>6.208931°, 31.549886°</t>
  </si>
  <si>
    <t>New gated culvert - Towards river</t>
  </si>
  <si>
    <t xml:space="preserve">2 barrels at 1.2m x 1.2m </t>
  </si>
  <si>
    <t>Gated Culvert</t>
  </si>
  <si>
    <t>9 Bor West</t>
  </si>
  <si>
    <t>H-9-1A</t>
  </si>
  <si>
    <t>6.220446°, 31.557319°</t>
  </si>
  <si>
    <t>New gated Dike culvert</t>
  </si>
  <si>
    <t>H-9-1B</t>
  </si>
  <si>
    <t>6.226905°, 31.554969°</t>
  </si>
  <si>
    <t>H-9-1C</t>
  </si>
  <si>
    <t>6.232719°, 31.551077°</t>
  </si>
  <si>
    <t>H-9-1D</t>
  </si>
  <si>
    <t>6.237409°, 31.546509°</t>
  </si>
  <si>
    <t>H-9-1E</t>
  </si>
  <si>
    <t>6.254162°, 31.551434°</t>
  </si>
  <si>
    <t>H-9-1F</t>
  </si>
  <si>
    <t>6.259693°, 31.569981°</t>
  </si>
  <si>
    <t>H-9-1G</t>
  </si>
  <si>
    <t>6.221295°, 31.553711°</t>
  </si>
  <si>
    <t>H-9-2</t>
  </si>
  <si>
    <t>6.216951°, 31.559108°</t>
  </si>
  <si>
    <t xml:space="preserve">New gated Dike culvert </t>
  </si>
  <si>
    <t xml:space="preserve">8 barrels at 1.2m x 1.2m </t>
  </si>
  <si>
    <t>H-9-3</t>
  </si>
  <si>
    <t>6.216455°, 31.559625°</t>
  </si>
  <si>
    <t>New pumping station</t>
  </si>
  <si>
    <t>Pumping station at a rate of 3000m3/h</t>
  </si>
  <si>
    <t>H-9-1</t>
  </si>
  <si>
    <t>6.216932°, 31.558801°</t>
  </si>
  <si>
    <t>Dike rehabilitation</t>
  </si>
  <si>
    <t>Rehabilitate primary Dike as per specification</t>
  </si>
  <si>
    <t>Title: Scope Of Work</t>
  </si>
  <si>
    <t xml:space="preserve"> Scope of Work </t>
  </si>
  <si>
    <t>Objective 1 : Gated Culvert</t>
  </si>
  <si>
    <t> </t>
  </si>
  <si>
    <t xml:space="preserve">Activities and Tasks </t>
  </si>
  <si>
    <t>Number of Days Per Location</t>
  </si>
  <si>
    <t>Output</t>
  </si>
  <si>
    <t>Mobilization of personnel, workers, materials etc to site</t>
  </si>
  <si>
    <t>Quality Checklist + Photos</t>
  </si>
  <si>
    <t>Setting out of site and site clearance</t>
  </si>
  <si>
    <t>2 to 3</t>
  </si>
  <si>
    <t>Excavation works</t>
  </si>
  <si>
    <t>Culvert foundation works (Boulder placement, sharp sand and lean concrete blinding work)</t>
  </si>
  <si>
    <t>Reinstallation of old culverts and new precast culvert installation</t>
  </si>
  <si>
    <t>7 to 14</t>
  </si>
  <si>
    <t>Head and wing walls construction and finishing work</t>
  </si>
  <si>
    <t>Installation of prefabricated flap gates to culvert walls</t>
  </si>
  <si>
    <t>Backfill and compaction work</t>
  </si>
  <si>
    <t>Testing and commissioning</t>
  </si>
  <si>
    <t>Demobilization and site cleaning</t>
  </si>
  <si>
    <t>Handover</t>
  </si>
  <si>
    <t>Objective 2 : Large Culvert</t>
  </si>
  <si>
    <t>Removal of existing unaligned culverts for realignment</t>
  </si>
  <si>
    <t>Objective 3  :  Primary Dike rehabilitation</t>
  </si>
  <si>
    <t>Dike repair work</t>
  </si>
  <si>
    <t>Commissioning</t>
  </si>
  <si>
    <t xml:space="preserve">Title: Technical Specifications </t>
  </si>
  <si>
    <t>Technical Specification</t>
  </si>
  <si>
    <t>Item</t>
  </si>
  <si>
    <t>General Conditions</t>
  </si>
  <si>
    <t>Samples of the materials to be used in any of the work activities shall be submitted with adequate information about them issued by the equipped company showing their characteristics in detail and specifying the specification under which they were produced and after the approval of the supervising engineer on a model that is signed by the contractor and the engineer and kept with the latter to compare it with the consignments supplied.</t>
  </si>
  <si>
    <t>The Contractor acknowledges that he has inspected the site before setting prices and is responsible for facing all the difficulties that may face him due to the nature or condition of the site that appears during the execution process of whatever type and nature and the contractor must make sure for himself to bear the component parts of the building and its accessories on which the works to be carried out are located.</t>
  </si>
  <si>
    <t xml:space="preserve"> The contractor shall bear all costs of material damage and maintenance work in the event of any damage to the facilities and infrastructure (service lines, sewage pipes and electrical cables) of the buildings located at the work sites and neighboring areas that he may find during the implementation of breakage, damage or the like, during the period of execution of the works and the restoration of the situation to what it was</t>
  </si>
  <si>
    <t>The contractor shall provide water and electricity services to the site and in the quantities and capacity required by the implementation of the project and may contract for this purpose with the relevant authorities or rely on generators, filter units and transport of mobile water for the duration of the implementation and the contractor shall bear the costs of delivering water and electricity and pay the fees and wages that result therefrom and for the duration of the contract and strictly prohibit the use of electricity and water from the people and beneficiaries.</t>
  </si>
  <si>
    <t xml:space="preserve"> The contractor shall be solely responsible for all building materials, tools, and other equipment located at the work site.</t>
  </si>
  <si>
    <t xml:space="preserve"> Before the delivery phase and completion of the implementation of the works, the contractor must clean the site and remove all excess materials, waste and rubble from inside and outside the site to a landfill approved by the supervising engineer. </t>
  </si>
  <si>
    <t>Leveling excavation and backfill</t>
  </si>
  <si>
    <t xml:space="preserve">The contractor shall settle the site and remove rubble, weeds and dirt </t>
  </si>
  <si>
    <t>The contractor shall provide the contractor with sufficient information for the planning of the project (for the main planning points or for existing installations) and the contractor shall plan all parts of the project and plant fixed pegs on the heads of the markers in a manner consistent with the plans, provided that such planning is fixed, clear and easily accessible at any stage of the work.</t>
  </si>
  <si>
    <t xml:space="preserve"> Excavations of any kind (earthen and rocky) are carried out using mechanical machines and workers according to the annexes of the contract, and the excavation residues are carried over to the places specified by the supervising engineer or used if they are suitable for backfilling in accordance with the directives of the supervising engineer.</t>
  </si>
  <si>
    <t xml:space="preserve">The backfill is carried out using the mechanisms mentioned in the annexes of the contract, with wetting and mud to reach a degree of stacking by 95%, the stacking is done on layers not more than 30 cm before stacking, the quantities after the molting are measured in the appropriate ways determined by the supervising engineer, provided that the final settlement is done using the cradle (creder) and the contractor is not given any compensation for the excess drilling products of the basic excavations that have been used as they are covered by the excavation clause </t>
  </si>
  <si>
    <t>In case of backfilling in places that cannot be reached by the landfills, the contractor shall secure small rollers that provide adequate stacking without affecting the existing construction elements and the contractor shall remain responsible for any damage resulting therefrom.</t>
  </si>
  <si>
    <t>Concrete works</t>
  </si>
  <si>
    <r>
      <t xml:space="preserve"> The cement used in concrete works must be of ordinary Portland cement </t>
    </r>
    <r>
      <rPr>
        <sz val="10"/>
        <color rgb="FFFF0000"/>
        <rFont val="Calibri"/>
        <family val="2"/>
        <scheme val="minor"/>
      </rPr>
      <t>type 42.5 grade</t>
    </r>
    <r>
      <rPr>
        <sz val="10"/>
        <color rgb="FF000000"/>
        <rFont val="Calibri"/>
        <family val="2"/>
        <scheme val="minor"/>
      </rPr>
      <t xml:space="preserve"> and its shelf life is not more than 3 months from the date of its production Cement bags must be sealed and in a healthy condition and each bag is rejected wet or malfunctioning due to moisture </t>
    </r>
  </si>
  <si>
    <t xml:space="preserve"> Sand and gravel resulting from the cracking of clean hard limestone free of dust, dirt and soft stones are used so that the amount of fine dust does not exceed 10% of the amount of sand</t>
  </si>
  <si>
    <t xml:space="preserve">The water used is potable water  </t>
  </si>
  <si>
    <t xml:space="preserve"> The texture and operability of the concrete are checked before each pouring by measuring the amount of concrete landing using the Abrams cone provided by the contractor at his own expense. </t>
  </si>
  <si>
    <t xml:space="preserve">Rebar of the highly resistant shaved type so that it is not less than 300 MPa in the diameters and lengths mentioned in the contract attachments, must be of the new type that is not renewed free of rust or other foreign substances with good fixation with tying wires and maintain during casting to provide sufficient thickness coverage </t>
  </si>
  <si>
    <t xml:space="preserve">The work includes the work of the wooden mold (formwork) and securing the materials required to mix, pour and hammer the concrete well and refine it and everything necessary and not to dismantle the mold before the end of the specified period </t>
  </si>
  <si>
    <t>The wooden mold must be of the clean type free of twists and defects with the need to use sufficient supports and the mold is not removed until after the period specified in the annexes to the contract</t>
  </si>
  <si>
    <t xml:space="preserve"> The steel rods (reinforcing bars) are attached to a steel strip in a way that prevents any movement in them during the pouring of concrete and lifts the skewers from the formwork by means of biscuits that achieve the required coverage distance  </t>
  </si>
  <si>
    <t xml:space="preserve">The length of the steel overlap (steel strip) must not be less than 60 times the diameter of the rod </t>
  </si>
  <si>
    <t>The dimensions, diameters and lengths of the steel used shall not be less than the measurements required in the plans and instructions, and if the contractor is unable to secure the steel lengths with the required descriptions, he may not replace them with any steel lengths except after obtaining written approval from the supervising enginee.</t>
  </si>
  <si>
    <t xml:space="preserve">The steel is received after it is placed ready for pouring and therefore the pouring of concrete should not be initiated except with the written permission of the supervising team after examining and accepting the steel according to the details contained in the plans and instructions issued during the work and in the case of pouring a section without taking permission the contractor must remove it at his own expense </t>
  </si>
  <si>
    <t>Sprinkle all wooden formwork with water before starting the casting process</t>
  </si>
  <si>
    <t>The contractor shall secure wooden walkways and regulate the movement of work in a way that does not affect the shape and cleanliness of steel and formwork.</t>
  </si>
  <si>
    <t xml:space="preserve">Mechanical vibrator should be used during casting </t>
  </si>
  <si>
    <t>The contractor must equip all electrical and sanitary wiring according to the contract annexes and leave the necessary openings before starting the casting process.</t>
  </si>
  <si>
    <t xml:space="preserve"> The contractor corrects the surface for dips and heights and gives it the required inclination during casting with good polishing by spraying cement as directed by the supervising engineer</t>
  </si>
  <si>
    <t>Poured concrete must be watered at least three days at the rate of twice a day in the morning and evening</t>
  </si>
  <si>
    <t xml:space="preserve">Paint for all elements </t>
  </si>
  <si>
    <t xml:space="preserve">Painting works for steel sections (for structural steelwork): The sections are first well carved so as to ensure the removal of any trace of rust, bumps or sharp corners and then the work of painting the steelwork is carried out in the following way: The paint is established using a layer base layer and then proceeds with painting  the first layer. After drying the first layer, the second and last layer is started with a paint so that the surfaces become completely smooth without a trace of ripples, dirt and small granules or collected in the paint and the color is determined by the supervising engineer, cleaning the site from the traces of paint in case of presence </t>
  </si>
  <si>
    <t>Structural steelwork</t>
  </si>
  <si>
    <t xml:space="preserve">The steel sections are made according to the contract attachments according to the specified sizes of the designs and the pieces are connected to each other by welding according to the conditions imposed on the welding works so that they appear after manufacture as if they are one piece and the difference between the moving and stationary parts should not exceed one millimeter </t>
  </si>
  <si>
    <t xml:space="preserve">The outer surface of the welding must be smooth, without cracks and no residues or any porous holes, free of waste such as slag, the welding must be evenly distributed, sealant, does not contain dissolved/additional substances on the surface (inside/outside), free of scratches, without bends or grafts </t>
  </si>
  <si>
    <t>After manufacture, all unfinished ferrous metal surfaces shall receive an anticorrosive protection (heavy coat of varnish or other equivalent material readily removed by commercial solvents).</t>
  </si>
  <si>
    <t>Stainless steel parts, non-ferrous metal or galvanized parts shall not receive any protective treatment. The same applies to metal surfaces to be embedded in concrete.</t>
  </si>
  <si>
    <t>Where dissimilar metals are in contact, these must be insulated from one another to prevent electrochemical corrosion.</t>
  </si>
  <si>
    <t>All protective coating systems must have a high durability such that no maintenance in the first five years is required.</t>
  </si>
  <si>
    <t xml:space="preserve">The steelwork after installation is identical to the building elements adjacent to it, true vertical and horizontal, durable and does not give any vibration </t>
  </si>
  <si>
    <t>All surfaces permanently submerged or temporarily submerged shall include: (1) Near-white blast cleaning (2) One coat of zinc-rich epoxy paint, minimum dry film thickness of 75 micrometres (3) Two finish coats of high build epoxy paint, each coat with minimum fry film thickness of 150 micrometres.</t>
  </si>
  <si>
    <t xml:space="preserve">All steel supplies such as hinges and locks are installed according to the requirements of the work </t>
  </si>
  <si>
    <t xml:space="preserve">Culverts </t>
  </si>
  <si>
    <t>The maximum culvert barrel will be a 1.2m x 1.2m reinforced concrete box culvert</t>
  </si>
  <si>
    <t>The aprons will be concrete and extend on the upstream and downstream side</t>
  </si>
  <si>
    <t>The headwalls and wingwalls of the culvert will be reinforced concrete and their function is to retain the soil behind the culverts, to provide erosion protection to the sides of the culvert and to direct water towards the culvert inlet.</t>
  </si>
  <si>
    <t>Flap gates are to be installed on the culvert headwalls, these must be designed to withstand the loads imposed by the flap gates both when closed and when open (from 0°-90°)</t>
  </si>
  <si>
    <t>Be able to withstand the High river levels expected during flood conditions on the downstream side of the culver</t>
  </si>
  <si>
    <t xml:space="preserve">Flap gates </t>
  </si>
  <si>
    <t>Flap gates manufacturing should consider the ability to weld the flap door and frame without distortion, and the ability to machine (turning, boring, milling)</t>
  </si>
  <si>
    <t>No (or low) maintenance requirement. Maintenance should be carried out without need to remove the flap gate door from its hinges</t>
  </si>
  <si>
    <t>Safety requirements of the gates should be considered so that risk to population does not increase</t>
  </si>
  <si>
    <t>Flap gates shall be of a standard and quality that ensures they will achieve a design life of 30 years in the prevailing operating environment, whilst achieving satisfactory operation without leakage in the closed position</t>
  </si>
  <si>
    <t>The prevailing environment will be a freshwater river with a large sediment content</t>
  </si>
  <si>
    <t>Materials used for the manufacturing and installation procedures must be of sound quality in accordance with good engineering practice, first class commercial quality, best workshop practice and local health and safety requirements</t>
  </si>
  <si>
    <t>All flap gates shall be readily accessible for operation, inspection and maintenance, without stretching or straining, and without resort to temporary scaffold, ladders, etc. Where necessary, operating platforms shall be provided that may be permanent or moveable. Wherever practicable it shall be possible to maintain the flap gates in situ</t>
  </si>
  <si>
    <t>Flap gates shall be installed with hinges at the top, as far as is practicable</t>
  </si>
  <si>
    <t>Flap gates and fittings shall be corrosion resistant and fabricated or sourced from materials available locally</t>
  </si>
  <si>
    <t>All flap gates shall be equipped with outside screws unless otherwise specified or approved</t>
  </si>
  <si>
    <t>To reduce the number of valves held as spare parts and requiring maintenance, the Contractor shall as far as possible, provide identical flap gates for all locations.</t>
  </si>
  <si>
    <t>LARGE CULVERT GEOMETRIC PROPERTIES (INITIAL DESIGN SIZING)</t>
  </si>
  <si>
    <t>General Parameters</t>
  </si>
  <si>
    <t>Culvert Box</t>
  </si>
  <si>
    <t>Culvert Joint (per box)</t>
  </si>
  <si>
    <t>Bed (per box)</t>
  </si>
  <si>
    <t>Apron (adjacent to wing wall) for both upstream and downstream sections</t>
  </si>
  <si>
    <t>Apron infront of culvert boxes (per barrel) for both upstream and downstream sections</t>
  </si>
  <si>
    <t>Headwall (per barrel) for both upstream and downstream sections</t>
  </si>
  <si>
    <t>Wingwalls</t>
  </si>
  <si>
    <t>SUMMARY FOR CALCULATED QUANTITIES PER BOX/BARREL OF CULVERT</t>
  </si>
  <si>
    <t>Property</t>
  </si>
  <si>
    <t>Qty</t>
  </si>
  <si>
    <t>#</t>
  </si>
  <si>
    <t>Quantity Calculated</t>
  </si>
  <si>
    <t>Unit of Calculation</t>
  </si>
  <si>
    <t>Box Length</t>
  </si>
  <si>
    <t>m</t>
  </si>
  <si>
    <t>Thickness</t>
  </si>
  <si>
    <t>Apron Length</t>
  </si>
  <si>
    <t>Height above box</t>
  </si>
  <si>
    <t>Height</t>
  </si>
  <si>
    <t>(To be multiplied by  length and no. of barrels)</t>
  </si>
  <si>
    <t>Box Height</t>
  </si>
  <si>
    <t>Perimeter</t>
  </si>
  <si>
    <t>Area</t>
  </si>
  <si>
    <t>Width</t>
  </si>
  <si>
    <t>Apron Width</t>
  </si>
  <si>
    <t>Length</t>
  </si>
  <si>
    <t>Box</t>
  </si>
  <si>
    <t>m3 per box</t>
  </si>
  <si>
    <t>Box Width</t>
  </si>
  <si>
    <t>Volume</t>
  </si>
  <si>
    <t>Lower Volume</t>
  </si>
  <si>
    <t>Joint</t>
  </si>
  <si>
    <t>Upper Volume</t>
  </si>
  <si>
    <t>Bed</t>
  </si>
  <si>
    <t>Apron</t>
  </si>
  <si>
    <t>Apron (for all)</t>
  </si>
  <si>
    <t>m3 for all (independent of no. of barrels)</t>
  </si>
  <si>
    <t>Apron (per box)</t>
  </si>
  <si>
    <t>m3 per barrel</t>
  </si>
  <si>
    <t>RC Structure</t>
  </si>
  <si>
    <t>Headwall</t>
  </si>
  <si>
    <t>m3 for all</t>
  </si>
  <si>
    <t>Table for material and parameter multiplication</t>
  </si>
  <si>
    <t>per box</t>
  </si>
  <si>
    <t>per barrel</t>
  </si>
  <si>
    <t>per asset</t>
  </si>
  <si>
    <t>Precast Reinforced Concrete (RC)</t>
  </si>
  <si>
    <t>In Situ Reinforced Concrete (RC)</t>
  </si>
  <si>
    <t>-</t>
  </si>
  <si>
    <t>Joint Filler</t>
  </si>
  <si>
    <t>Concrete</t>
  </si>
  <si>
    <t>KEY</t>
  </si>
  <si>
    <t>All input values in blue against dark gray backgound</t>
  </si>
  <si>
    <t>All calculated values in green against light grey background</t>
  </si>
  <si>
    <t>Appendix A5.1 barrel sizes</t>
  </si>
  <si>
    <t>Upstream and downstream,</t>
  </si>
  <si>
    <t>FLAP GATES</t>
  </si>
  <si>
    <t>Flap door assumed to comprise:</t>
  </si>
  <si>
    <t>Material</t>
  </si>
  <si>
    <t>no.</t>
  </si>
  <si>
    <t>Plate</t>
  </si>
  <si>
    <t>mm</t>
  </si>
  <si>
    <t>thick</t>
  </si>
  <si>
    <t>Steel</t>
  </si>
  <si>
    <r>
      <t>kg/m</t>
    </r>
    <r>
      <rPr>
        <vertAlign val="superscript"/>
        <sz val="11"/>
        <color theme="1"/>
        <rFont val="Calibri"/>
        <family val="2"/>
        <scheme val="minor"/>
      </rPr>
      <t>3</t>
    </r>
  </si>
  <si>
    <t>Beams</t>
  </si>
  <si>
    <t>UB</t>
  </si>
  <si>
    <t>kg/m</t>
  </si>
  <si>
    <t>Hinge brackets</t>
  </si>
  <si>
    <t>Flap Door</t>
  </si>
  <si>
    <t>Volume=</t>
  </si>
  <si>
    <r>
      <t>m</t>
    </r>
    <r>
      <rPr>
        <vertAlign val="superscript"/>
        <sz val="11"/>
        <color theme="1"/>
        <rFont val="Calibri"/>
        <family val="2"/>
        <scheme val="minor"/>
      </rPr>
      <t>3</t>
    </r>
  </si>
  <si>
    <t>OD</t>
  </si>
  <si>
    <t>Material=</t>
  </si>
  <si>
    <t>long</t>
  </si>
  <si>
    <t>Mass=</t>
  </si>
  <si>
    <t>kg (inc 20% for welds &amp; paint)</t>
  </si>
  <si>
    <t>Bush</t>
  </si>
  <si>
    <t>Bronze</t>
  </si>
  <si>
    <t>Frame</t>
  </si>
  <si>
    <t>Hinge pins</t>
  </si>
  <si>
    <t>Stainless steel</t>
  </si>
  <si>
    <t>Hinges</t>
  </si>
  <si>
    <t>Seal</t>
  </si>
  <si>
    <t>Neoprene</t>
  </si>
  <si>
    <t>kg (inc 5% contingency)</t>
  </si>
  <si>
    <t>wide</t>
  </si>
  <si>
    <t>Flap frame assumed to comprise:</t>
  </si>
  <si>
    <t>required if good metal to metal seal is not possible</t>
  </si>
  <si>
    <t>60 to 70 shore</t>
  </si>
  <si>
    <t>hardness is important</t>
  </si>
  <si>
    <t>EPDM</t>
  </si>
  <si>
    <t>Summary for material estimate sheet</t>
  </si>
  <si>
    <t>Stainless Steel</t>
  </si>
  <si>
    <t>plates</t>
  </si>
  <si>
    <t>sheet</t>
  </si>
  <si>
    <t>rod</t>
  </si>
  <si>
    <t>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</si>
</sst>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 ;_-[$$-409]* \-#,##0.00\ ;_-[$$-409]* &quot;-&quot;??_ ;_-@_ "/>
    <numFmt numFmtId="165" formatCode="0.0000"/>
  </numFmts>
  <fonts count="33">
    <font>
      <sz val="11"/>
      <color theme="1"/>
      <name val="Calibri"/>
      <family val="2"/>
      <scheme val="minor"/>
    </font>
    <font>
      <sz val="11"/>
      <color theme="0"/>
      <name val="Calibri"/>
      <family val="2"/>
      <scheme val="minor"/>
    </font>
    <font>
      <sz val="10"/>
      <color rgb="FF000000"/>
      <name val="Times New Roman"/>
      <family val="1"/>
    </font>
    <font>
      <b/>
      <u/>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0"/>
      <color rgb="FF000000"/>
      <name val="Calibri"/>
      <family val="2"/>
    </font>
    <font>
      <b/>
      <sz val="10"/>
      <color rgb="FFFFFFFF"/>
      <name val="Calibri"/>
      <family val="2"/>
    </font>
    <font>
      <sz val="10.5"/>
      <color rgb="FF000000"/>
      <name val="Calibri"/>
      <family val="2"/>
    </font>
    <font>
      <sz val="10"/>
      <color rgb="FFFF0000"/>
      <name val="Calibri"/>
      <family val="2"/>
      <scheme val="minor"/>
    </font>
    <font>
      <sz val="11"/>
      <color rgb="FF3F3F76"/>
      <name val="Calibri"/>
      <family val="2"/>
      <scheme val="minor"/>
    </font>
    <font>
      <b/>
      <sz val="11"/>
      <color rgb="FFFA7D00"/>
      <name val="Calibri"/>
      <family val="2"/>
      <scheme val="minor"/>
    </font>
    <font>
      <sz val="8"/>
      <name val="Calibri"/>
      <family val="2"/>
      <scheme val="minor"/>
    </font>
    <font>
      <b/>
      <u/>
      <sz val="10"/>
      <color theme="1"/>
      <name val="Calibri"/>
      <family val="2"/>
      <scheme val="minor"/>
    </font>
    <font>
      <sz val="10"/>
      <color rgb="FF202124"/>
      <name val="Calibri"/>
      <family val="2"/>
      <scheme val="minor"/>
    </font>
    <font>
      <sz val="10"/>
      <color rgb="FF000000"/>
      <name val="Calibri"/>
      <family val="2"/>
      <scheme val="minor"/>
    </font>
    <font>
      <sz val="12"/>
      <color theme="1"/>
      <name val="Calibri"/>
      <family val="2"/>
      <scheme val="minor"/>
    </font>
    <font>
      <vertAlign val="superscript"/>
      <sz val="11"/>
      <color theme="1"/>
      <name val="Calibri"/>
      <family val="2"/>
      <scheme val="minor"/>
    </font>
    <font>
      <b/>
      <sz val="11"/>
      <color rgb="FF0070C0"/>
      <name val="Calibri"/>
      <family val="2"/>
      <scheme val="minor"/>
    </font>
    <font>
      <b/>
      <sz val="11"/>
      <color rgb="FF70AD47"/>
      <name val="Calibri"/>
      <family val="2"/>
      <scheme val="minor"/>
    </font>
    <font>
      <b/>
      <sz val="12"/>
      <color theme="1"/>
      <name val="Calibri"/>
      <family val="2"/>
      <scheme val="minor"/>
    </font>
    <font>
      <i/>
      <sz val="11"/>
      <color theme="1"/>
      <name val="Calibri"/>
      <family val="2"/>
      <scheme val="minor"/>
    </font>
    <font>
      <sz val="11"/>
      <color rgb="FF0070C0"/>
      <name val="Calibri"/>
      <family val="2"/>
      <scheme val="minor"/>
    </font>
    <font>
      <b/>
      <sz val="10"/>
      <color rgb="FFFFFFFF"/>
      <name val="Calibri"/>
      <family val="2"/>
      <scheme val="minor"/>
    </font>
    <font>
      <b/>
      <sz val="10"/>
      <color rgb="FF000000"/>
      <name val="Calibri"/>
      <family val="2"/>
      <scheme val="minor"/>
    </font>
    <font>
      <sz val="10"/>
      <name val="Calibri"/>
      <family val="2"/>
      <scheme val="minor"/>
    </font>
    <font>
      <b/>
      <sz val="10"/>
      <name val="Calibri"/>
      <family val="2"/>
      <scheme val="minor"/>
    </font>
    <font>
      <b/>
      <u/>
      <sz val="10"/>
      <name val="Calibri"/>
      <family val="2"/>
      <scheme val="minor"/>
    </font>
    <font>
      <u/>
      <sz val="1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rgb="FFBFBFBF"/>
        <bgColor rgb="FF000000"/>
      </patternFill>
    </fill>
    <fill>
      <patternFill patternType="solid">
        <fgColor theme="4"/>
        <bgColor rgb="FF000000"/>
      </patternFill>
    </fill>
    <fill>
      <patternFill patternType="solid">
        <fgColor rgb="FFFFCC99"/>
      </patternFill>
    </fill>
    <fill>
      <patternFill patternType="solid">
        <fgColor rgb="FFF2F2F2"/>
      </patternFill>
    </fill>
    <fill>
      <patternFill patternType="solid">
        <fgColor theme="2"/>
        <bgColor indexed="64"/>
      </patternFill>
    </fill>
    <fill>
      <patternFill patternType="solid">
        <fgColor rgb="FFBFBFBF"/>
        <bgColor indexed="64"/>
      </patternFill>
    </fill>
  </fills>
  <borders count="62">
    <border>
      <left/>
      <right/>
      <top/>
      <bottom/>
      <diagonal/>
    </border>
    <border>
      <left/>
      <right/>
      <top style="thin">
        <color theme="4" tint="-0.249977111117893"/>
      </top>
      <bottom style="thin">
        <color theme="4" tint="-0.249977111117893"/>
      </bottom>
      <diagonal/>
    </border>
    <border>
      <left/>
      <right/>
      <top/>
      <bottom style="thin">
        <color theme="4" tint="-0.249977111117893"/>
      </bottom>
      <diagonal/>
    </border>
    <border>
      <left style="thin">
        <color rgb="FF7F7F7F"/>
      </left>
      <right style="thin">
        <color rgb="FF7F7F7F"/>
      </right>
      <top style="thin">
        <color rgb="FF7F7F7F"/>
      </top>
      <bottom style="thin">
        <color rgb="FF7F7F7F"/>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tint="-0.249977111117893"/>
      </bottom>
      <diagonal/>
    </border>
    <border>
      <left/>
      <right/>
      <top style="thin">
        <color theme="4"/>
      </top>
      <bottom style="thin">
        <color theme="4" tint="-0.249977111117893"/>
      </bottom>
      <diagonal/>
    </border>
    <border>
      <left/>
      <right style="thin">
        <color theme="4"/>
      </right>
      <top style="thin">
        <color theme="4"/>
      </top>
      <bottom style="thin">
        <color theme="4" tint="-0.249977111117893"/>
      </bottom>
      <diagonal/>
    </border>
    <border>
      <left style="thin">
        <color theme="4"/>
      </left>
      <right/>
      <top style="thin">
        <color theme="4" tint="-0.249977111117893"/>
      </top>
      <bottom style="thin">
        <color theme="4" tint="-0.249977111117893"/>
      </bottom>
      <diagonal/>
    </border>
    <border>
      <left/>
      <right style="thin">
        <color theme="4"/>
      </right>
      <top style="thin">
        <color theme="4" tint="-0.249977111117893"/>
      </top>
      <bottom style="thin">
        <color theme="4" tint="-0.249977111117893"/>
      </bottom>
      <diagonal/>
    </border>
    <border>
      <left style="thin">
        <color theme="4"/>
      </left>
      <right/>
      <top/>
      <bottom style="thin">
        <color theme="4" tint="-0.249977111117893"/>
      </bottom>
      <diagonal/>
    </border>
    <border>
      <left/>
      <right style="thin">
        <color theme="4"/>
      </right>
      <top/>
      <bottom style="thin">
        <color theme="4" tint="-0.249977111117893"/>
      </bottom>
      <diagonal/>
    </border>
    <border>
      <left style="thin">
        <color theme="4"/>
      </left>
      <right/>
      <top/>
      <bottom/>
      <diagonal/>
    </border>
    <border>
      <left style="thin">
        <color theme="4"/>
      </left>
      <right/>
      <top style="thin">
        <color theme="4" tint="-0.249977111117893"/>
      </top>
      <bottom style="thin">
        <color theme="4"/>
      </bottom>
      <diagonal/>
    </border>
    <border>
      <left/>
      <right/>
      <top style="thin">
        <color theme="4" tint="-0.249977111117893"/>
      </top>
      <bottom style="thin">
        <color theme="4"/>
      </bottom>
      <diagonal/>
    </border>
    <border>
      <left/>
      <right style="thin">
        <color theme="4"/>
      </right>
      <top style="thin">
        <color theme="4" tint="-0.249977111117893"/>
      </top>
      <bottom style="thin">
        <color theme="4"/>
      </bottom>
      <diagonal/>
    </border>
    <border>
      <left style="thin">
        <color theme="4"/>
      </left>
      <right/>
      <top style="thin">
        <color theme="4"/>
      </top>
      <bottom/>
      <diagonal/>
    </border>
    <border>
      <left/>
      <right/>
      <top/>
      <bottom style="thin">
        <color theme="4"/>
      </bottom>
      <diagonal/>
    </border>
    <border>
      <left/>
      <right/>
      <top style="thin">
        <color theme="4"/>
      </top>
      <bottom style="thin">
        <color theme="4"/>
      </bottom>
      <diagonal/>
    </border>
    <border>
      <left style="thin">
        <color theme="4"/>
      </left>
      <right/>
      <top/>
      <bottom style="thin">
        <color theme="4"/>
      </bottom>
      <diagonal/>
    </border>
    <border>
      <left/>
      <right style="thin">
        <color theme="4"/>
      </right>
      <top/>
      <bottom style="thin">
        <color theme="4"/>
      </bottom>
      <diagonal/>
    </border>
  </borders>
  <cellStyleXfs count="6">
    <xf numFmtId="0" fontId="0" fillId="0" borderId="0"/>
    <xf numFmtId="0" fontId="2" fillId="0" borderId="0"/>
    <xf numFmtId="43" fontId="5" fillId="0" borderId="0" applyFont="0" applyFill="0" applyBorder="0" applyAlignment="0" applyProtection="0"/>
    <xf numFmtId="44" fontId="5" fillId="0" borderId="0" applyFont="0" applyFill="0" applyBorder="0" applyAlignment="0" applyProtection="0"/>
    <xf numFmtId="0" fontId="14" fillId="6" borderId="3" applyNumberFormat="0" applyAlignment="0" applyProtection="0"/>
    <xf numFmtId="0" fontId="15" fillId="7" borderId="3" applyNumberFormat="0" applyAlignment="0" applyProtection="0"/>
  </cellStyleXfs>
  <cellXfs count="168">
    <xf numFmtId="0" fontId="0" fillId="0" borderId="0" xfId="0"/>
    <xf numFmtId="0" fontId="3"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2" borderId="0" xfId="0" applyFont="1" applyFill="1" applyAlignment="1">
      <alignment vertical="center"/>
    </xf>
    <xf numFmtId="0" fontId="0" fillId="2" borderId="0" xfId="0" applyFill="1" applyAlignment="1">
      <alignment horizontal="center" vertical="center"/>
    </xf>
    <xf numFmtId="0" fontId="4" fillId="2" borderId="0" xfId="0" applyFont="1" applyFill="1" applyAlignment="1">
      <alignment horizontal="center" vertical="center"/>
    </xf>
    <xf numFmtId="2" fontId="6" fillId="3" borderId="0" xfId="0" applyNumberFormat="1" applyFont="1" applyFill="1" applyAlignment="1">
      <alignment horizontal="left" vertical="center"/>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2" fontId="6" fillId="3" borderId="0" xfId="2" applyNumberFormat="1" applyFont="1" applyFill="1" applyBorder="1" applyAlignment="1">
      <alignment horizontal="center" vertical="center"/>
    </xf>
    <xf numFmtId="2" fontId="6" fillId="3" borderId="0" xfId="3" applyNumberFormat="1" applyFont="1" applyFill="1" applyBorder="1" applyAlignment="1">
      <alignment horizontal="right" vertical="center"/>
    </xf>
    <xf numFmtId="43" fontId="6" fillId="3" borderId="0" xfId="2" applyFont="1" applyFill="1" applyBorder="1" applyAlignment="1">
      <alignment horizontal="right" vertical="center"/>
    </xf>
    <xf numFmtId="2"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xf>
    <xf numFmtId="44" fontId="7" fillId="0" borderId="0" xfId="3" applyFont="1" applyFill="1" applyAlignment="1">
      <alignment horizontal="right" vertical="center"/>
    </xf>
    <xf numFmtId="164" fontId="7" fillId="0" borderId="0" xfId="2" applyNumberFormat="1" applyFont="1" applyBorder="1" applyAlignment="1">
      <alignment horizontal="right" vertical="center" wrapText="1"/>
    </xf>
    <xf numFmtId="44" fontId="7" fillId="0" borderId="0" xfId="3" applyFont="1" applyFill="1" applyAlignment="1">
      <alignment horizontal="center" vertical="center"/>
    </xf>
    <xf numFmtId="44" fontId="7" fillId="0" borderId="0" xfId="3" applyFont="1" applyAlignment="1">
      <alignment horizontal="right" vertical="center"/>
    </xf>
    <xf numFmtId="0" fontId="7" fillId="0" borderId="0" xfId="0" applyFont="1" applyAlignment="1">
      <alignment horizontal="left" vertical="center" wrapText="1" readingOrder="1"/>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7" fillId="0" borderId="0" xfId="0" applyFont="1" applyAlignment="1">
      <alignment vertical="top"/>
    </xf>
    <xf numFmtId="0" fontId="7" fillId="0" borderId="0" xfId="0" applyFont="1"/>
    <xf numFmtId="0" fontId="11" fillId="5" borderId="1" xfId="0" applyFont="1" applyFill="1" applyBorder="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164" fontId="1" fillId="2" borderId="0" xfId="0" applyNumberFormat="1" applyFont="1" applyFill="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readingOrder="1"/>
    </xf>
    <xf numFmtId="2" fontId="6" fillId="8" borderId="0" xfId="0" applyNumberFormat="1" applyFont="1" applyFill="1" applyAlignment="1">
      <alignment horizontal="lef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wrapText="1"/>
    </xf>
    <xf numFmtId="2" fontId="6" fillId="8" borderId="0" xfId="2" applyNumberFormat="1" applyFont="1" applyFill="1" applyBorder="1" applyAlignment="1">
      <alignment horizontal="center" vertical="center"/>
    </xf>
    <xf numFmtId="2" fontId="6" fillId="8" borderId="0" xfId="3" applyNumberFormat="1" applyFont="1" applyFill="1" applyBorder="1" applyAlignment="1">
      <alignment horizontal="right" vertical="center"/>
    </xf>
    <xf numFmtId="43" fontId="6" fillId="8" borderId="0" xfId="2" applyFont="1" applyFill="1" applyBorder="1" applyAlignment="1">
      <alignment horizontal="right" vertical="center"/>
    </xf>
    <xf numFmtId="0" fontId="0" fillId="0" borderId="0" xfId="0" applyAlignment="1">
      <alignment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18" fillId="0" borderId="0" xfId="0" applyFont="1" applyAlignment="1">
      <alignment vertical="center" wrapText="1"/>
    </xf>
    <xf numFmtId="0" fontId="22" fillId="9" borderId="14" xfId="4" applyFont="1" applyFill="1" applyBorder="1"/>
    <xf numFmtId="165" fontId="23" fillId="7" borderId="14" xfId="5" applyNumberFormat="1" applyFont="1" applyBorder="1"/>
    <xf numFmtId="0" fontId="6" fillId="0" borderId="0" xfId="0" applyFont="1"/>
    <xf numFmtId="1" fontId="6" fillId="0" borderId="0" xfId="0" applyNumberFormat="1" applyFont="1"/>
    <xf numFmtId="0" fontId="20" fillId="0" borderId="0" xfId="0" applyFont="1"/>
    <xf numFmtId="0" fontId="0" fillId="0" borderId="15" xfId="0" applyBorder="1"/>
    <xf numFmtId="0" fontId="0" fillId="0" borderId="16" xfId="0" applyBorder="1"/>
    <xf numFmtId="0" fontId="0" fillId="0" borderId="17" xfId="0" applyBorder="1"/>
    <xf numFmtId="0" fontId="0" fillId="0" borderId="18" xfId="0" applyBorder="1"/>
    <xf numFmtId="0" fontId="0" fillId="0" borderId="7" xfId="0" applyBorder="1"/>
    <xf numFmtId="0" fontId="0" fillId="0" borderId="19" xfId="0" applyBorder="1"/>
    <xf numFmtId="1" fontId="23" fillId="7" borderId="20" xfId="5" applyNumberFormat="1" applyFont="1" applyBorder="1"/>
    <xf numFmtId="1" fontId="23" fillId="7" borderId="14" xfId="5" applyNumberFormat="1" applyFont="1" applyBorder="1"/>
    <xf numFmtId="1" fontId="23" fillId="7" borderId="21" xfId="5" applyNumberFormat="1" applyFont="1" applyBorder="1"/>
    <xf numFmtId="0" fontId="0" fillId="0" borderId="22" xfId="0" applyBorder="1"/>
    <xf numFmtId="0" fontId="0" fillId="0" borderId="23" xfId="0" applyBorder="1"/>
    <xf numFmtId="0" fontId="0" fillId="0" borderId="24" xfId="0" applyBorder="1"/>
    <xf numFmtId="0" fontId="25" fillId="0" borderId="20" xfId="0" applyFont="1" applyBorder="1"/>
    <xf numFmtId="0" fontId="25" fillId="0" borderId="14" xfId="0" applyFont="1" applyBorder="1" applyAlignment="1">
      <alignment horizontal="center"/>
    </xf>
    <xf numFmtId="0" fontId="25" fillId="0" borderId="32" xfId="0" applyFont="1" applyBorder="1"/>
    <xf numFmtId="0" fontId="25" fillId="0" borderId="21" xfId="0" applyFont="1" applyBorder="1"/>
    <xf numFmtId="0" fontId="6" fillId="0" borderId="29" xfId="0" applyFont="1" applyBorder="1"/>
    <xf numFmtId="0" fontId="6" fillId="0" borderId="30" xfId="0" applyFont="1" applyBorder="1"/>
    <xf numFmtId="0" fontId="6" fillId="0" borderId="31" xfId="0" applyFont="1" applyBorder="1"/>
    <xf numFmtId="0" fontId="26" fillId="0" borderId="27" xfId="0" applyFont="1" applyBorder="1"/>
    <xf numFmtId="0" fontId="0" fillId="0" borderId="27" xfId="0" applyBorder="1"/>
    <xf numFmtId="2" fontId="23" fillId="7" borderId="14" xfId="5" applyNumberFormat="1" applyFont="1" applyBorder="1"/>
    <xf numFmtId="0" fontId="0" fillId="0" borderId="28" xfId="0" applyBorder="1"/>
    <xf numFmtId="0" fontId="0" fillId="0" borderId="29" xfId="0" applyBorder="1"/>
    <xf numFmtId="0" fontId="0" fillId="0" borderId="33" xfId="0" applyBorder="1"/>
    <xf numFmtId="0" fontId="0" fillId="0" borderId="34" xfId="0" applyBorder="1"/>
    <xf numFmtId="2" fontId="23" fillId="7" borderId="35" xfId="5" applyNumberFormat="1" applyFont="1" applyBorder="1"/>
    <xf numFmtId="0" fontId="0" fillId="0" borderId="36" xfId="0" applyBorder="1"/>
    <xf numFmtId="2" fontId="23" fillId="7" borderId="37" xfId="5" applyNumberFormat="1" applyFont="1" applyBorder="1"/>
    <xf numFmtId="0" fontId="0" fillId="0" borderId="30" xfId="0" applyBorder="1"/>
    <xf numFmtId="0" fontId="0" fillId="0" borderId="31" xfId="0" applyBorder="1"/>
    <xf numFmtId="0" fontId="27" fillId="5" borderId="40" xfId="0" applyFont="1" applyFill="1" applyBorder="1" applyAlignment="1">
      <alignment horizontal="center" vertical="center" wrapText="1"/>
    </xf>
    <xf numFmtId="0" fontId="19" fillId="0" borderId="40" xfId="0" applyFont="1" applyBorder="1" applyAlignment="1">
      <alignment vertical="center" wrapText="1"/>
    </xf>
    <xf numFmtId="0" fontId="27" fillId="5" borderId="5" xfId="0" applyFont="1" applyFill="1" applyBorder="1" applyAlignment="1">
      <alignment horizontal="center" vertical="center" wrapText="1"/>
    </xf>
    <xf numFmtId="0" fontId="19" fillId="0" borderId="43"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0" fillId="0" borderId="4" xfId="0" applyBorder="1" applyAlignment="1">
      <alignment wrapText="1"/>
    </xf>
    <xf numFmtId="0" fontId="28" fillId="0" borderId="6" xfId="0" applyFont="1" applyBorder="1" applyAlignment="1">
      <alignment horizontal="center" vertical="center" wrapText="1"/>
    </xf>
    <xf numFmtId="0" fontId="18" fillId="0" borderId="0" xfId="0" applyFont="1" applyAlignment="1">
      <alignment horizontal="center" vertical="center"/>
    </xf>
    <xf numFmtId="0" fontId="11" fillId="5" borderId="49" xfId="0" applyFont="1" applyFill="1" applyBorder="1" applyAlignment="1">
      <alignment vertical="center" wrapText="1"/>
    </xf>
    <xf numFmtId="0" fontId="11" fillId="5" borderId="50" xfId="0" applyFont="1" applyFill="1" applyBorder="1" applyAlignment="1">
      <alignment horizontal="center" vertical="center" wrapText="1"/>
    </xf>
    <xf numFmtId="0" fontId="7" fillId="0" borderId="51" xfId="0" applyFont="1" applyBorder="1" applyAlignment="1">
      <alignment horizontal="left" vertical="center" wrapText="1"/>
    </xf>
    <xf numFmtId="0" fontId="12" fillId="0" borderId="52" xfId="0" applyFont="1" applyBorder="1" applyAlignment="1">
      <alignment vertical="center"/>
    </xf>
    <xf numFmtId="0" fontId="7" fillId="0" borderId="49" xfId="0" applyFont="1" applyBorder="1" applyAlignment="1">
      <alignment horizontal="left" vertical="center" wrapText="1"/>
    </xf>
    <xf numFmtId="0" fontId="12" fillId="0" borderId="50" xfId="0" applyFont="1" applyBorder="1" applyAlignment="1">
      <alignment vertical="center"/>
    </xf>
    <xf numFmtId="0" fontId="7" fillId="0" borderId="51" xfId="0" applyFont="1" applyBorder="1" applyAlignment="1">
      <alignment horizontal="left" vertical="center" wrapText="1" readingOrder="1"/>
    </xf>
    <xf numFmtId="0" fontId="11" fillId="5" borderId="54" xfId="0" applyFont="1" applyFill="1" applyBorder="1" applyAlignment="1">
      <alignment vertical="center" wrapText="1"/>
    </xf>
    <xf numFmtId="0" fontId="11" fillId="5" borderId="55" xfId="0" applyFont="1" applyFill="1" applyBorder="1" applyAlignment="1">
      <alignment vertical="center" wrapText="1"/>
    </xf>
    <xf numFmtId="0" fontId="11" fillId="5" borderId="56" xfId="0" applyFont="1" applyFill="1" applyBorder="1" applyAlignment="1">
      <alignment horizontal="center" vertical="center" wrapText="1"/>
    </xf>
    <xf numFmtId="0" fontId="18" fillId="0" borderId="57" xfId="0" applyFont="1" applyBorder="1" applyAlignment="1">
      <alignment vertical="center" wrapText="1"/>
    </xf>
    <xf numFmtId="0" fontId="7" fillId="0" borderId="57" xfId="0" applyFont="1" applyBorder="1" applyAlignment="1">
      <alignment vertical="center" wrapText="1"/>
    </xf>
    <xf numFmtId="0" fontId="7" fillId="0" borderId="57" xfId="0" applyFont="1"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wrapText="1"/>
    </xf>
    <xf numFmtId="0" fontId="7" fillId="0" borderId="42" xfId="0" applyFont="1" applyBorder="1" applyAlignment="1">
      <alignment vertical="center" wrapText="1"/>
    </xf>
    <xf numFmtId="0" fontId="7" fillId="0" borderId="6" xfId="0" applyFont="1" applyBorder="1" applyAlignment="1">
      <alignment vertical="center" wrapText="1"/>
    </xf>
    <xf numFmtId="0" fontId="7" fillId="0" borderId="40" xfId="0" applyFont="1" applyBorder="1" applyAlignment="1">
      <alignment vertical="center" wrapText="1"/>
    </xf>
    <xf numFmtId="0" fontId="7" fillId="0" borderId="44" xfId="0" applyFont="1" applyBorder="1" applyAlignment="1">
      <alignment vertical="center" wrapText="1"/>
    </xf>
    <xf numFmtId="0" fontId="7" fillId="0" borderId="45" xfId="0" applyFont="1" applyBorder="1" applyAlignment="1">
      <alignment vertical="center" wrapText="1"/>
    </xf>
    <xf numFmtId="164" fontId="7" fillId="0" borderId="0" xfId="2" applyNumberFormat="1" applyFont="1" applyFill="1" applyBorder="1" applyAlignment="1">
      <alignment horizontal="right" vertical="center" wrapText="1"/>
    </xf>
    <xf numFmtId="0" fontId="8" fillId="0" borderId="5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1" xfId="0" applyFont="1" applyBorder="1" applyAlignment="1">
      <alignment horizontal="center" vertical="center" wrapText="1"/>
    </xf>
    <xf numFmtId="0" fontId="7" fillId="0" borderId="41" xfId="0" applyFont="1" applyBorder="1" applyAlignment="1">
      <alignment horizontal="left" vertical="center" wrapText="1"/>
    </xf>
    <xf numFmtId="0" fontId="7" fillId="0" borderId="59" xfId="0" applyFont="1" applyBorder="1" applyAlignment="1">
      <alignment horizontal="left" vertical="center" wrapText="1"/>
    </xf>
    <xf numFmtId="0" fontId="7" fillId="0" borderId="42" xfId="0" applyFont="1" applyBorder="1" applyAlignment="1">
      <alignment horizontal="left" vertical="center" wrapText="1"/>
    </xf>
    <xf numFmtId="0" fontId="8" fillId="0" borderId="0" xfId="0" applyFont="1" applyAlignment="1">
      <alignment horizontal="center" vertical="center"/>
    </xf>
    <xf numFmtId="0" fontId="10" fillId="4" borderId="53" xfId="0" applyFont="1" applyFill="1" applyBorder="1" applyAlignment="1">
      <alignment horizontal="left" vertical="center"/>
    </xf>
    <xf numFmtId="0" fontId="10" fillId="4" borderId="0" xfId="0" applyFont="1" applyFill="1" applyAlignment="1">
      <alignment horizontal="left" vertical="center"/>
    </xf>
    <xf numFmtId="0" fontId="10" fillId="4" borderId="43" xfId="0" applyFont="1" applyFill="1" applyBorder="1" applyAlignment="1">
      <alignment horizontal="left" vertical="center"/>
    </xf>
    <xf numFmtId="0" fontId="10" fillId="4" borderId="49"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9" fillId="0" borderId="0" xfId="0" applyFont="1" applyAlignment="1">
      <alignment horizontal="center" vertical="center" wrapText="1"/>
    </xf>
    <xf numFmtId="0" fontId="10" fillId="4" borderId="46" xfId="0" applyFont="1" applyFill="1" applyBorder="1" applyAlignment="1">
      <alignment horizontal="left" vertical="center"/>
    </xf>
    <xf numFmtId="0" fontId="10" fillId="4" borderId="47" xfId="0" applyFont="1" applyFill="1" applyBorder="1" applyAlignment="1">
      <alignment horizontal="left" vertical="center"/>
    </xf>
    <xf numFmtId="0" fontId="10" fillId="4" borderId="48" xfId="0" applyFont="1" applyFill="1" applyBorder="1" applyAlignment="1">
      <alignment horizontal="left" vertical="center"/>
    </xf>
    <xf numFmtId="0" fontId="9" fillId="0" borderId="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24"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5" xfId="0" applyFont="1" applyBorder="1" applyAlignment="1">
      <alignment horizontal="left" wrapText="1"/>
    </xf>
    <xf numFmtId="0" fontId="6" fillId="0" borderId="26" xfId="0" applyFont="1" applyBorder="1" applyAlignment="1">
      <alignment horizontal="left" wrapText="1"/>
    </xf>
    <xf numFmtId="0" fontId="6" fillId="0" borderId="27" xfId="0" applyFont="1" applyBorder="1" applyAlignment="1">
      <alignment horizontal="center" wrapText="1"/>
    </xf>
    <xf numFmtId="0" fontId="6" fillId="0" borderId="0" xfId="0" applyFont="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22" fillId="9" borderId="32" xfId="4" applyFont="1" applyFill="1" applyBorder="1" applyAlignment="1">
      <alignment horizontal="left" vertical="top"/>
    </xf>
    <xf numFmtId="0" fontId="22" fillId="9" borderId="38" xfId="4" applyFont="1" applyFill="1" applyBorder="1" applyAlignment="1">
      <alignment horizontal="left" vertical="top"/>
    </xf>
    <xf numFmtId="0" fontId="22" fillId="9" borderId="39" xfId="4" applyFont="1" applyFill="1" applyBorder="1" applyAlignment="1">
      <alignment horizontal="left" vertical="top"/>
    </xf>
    <xf numFmtId="2" fontId="23" fillId="7" borderId="32" xfId="5" applyNumberFormat="1" applyFont="1" applyBorder="1" applyAlignment="1">
      <alignment horizontal="left"/>
    </xf>
    <xf numFmtId="2" fontId="23" fillId="7" borderId="38" xfId="5" applyNumberFormat="1" applyFont="1" applyBorder="1" applyAlignment="1">
      <alignment horizontal="left"/>
    </xf>
    <xf numFmtId="2" fontId="23" fillId="7" borderId="39" xfId="5" applyNumberFormat="1" applyFont="1" applyBorder="1" applyAlignment="1">
      <alignment horizontal="lef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cellXfs>
  <cellStyles count="6">
    <cellStyle name="Calculation" xfId="5" builtinId="22"/>
    <cellStyle name="Comma" xfId="2" builtinId="3"/>
    <cellStyle name="Currency" xfId="3" builtinId="4"/>
    <cellStyle name="Input" xfId="4" builtinId="20"/>
    <cellStyle name="Normal" xfId="0" builtinId="0"/>
    <cellStyle name="Normal 2" xfId="1" xr:uid="{C0BD128F-8296-4D94-B924-515FCC4AC0ED}"/>
  </cellStyles>
  <dxfs count="28">
    <dxf>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1"/>
        <color theme="0"/>
        <name val="Calibri"/>
        <family val="2"/>
        <scheme val="minor"/>
      </font>
      <fill>
        <patternFill patternType="solid">
          <fgColor indexed="64"/>
          <bgColor theme="4"/>
        </patternFill>
      </fill>
      <alignment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numFmt numFmtId="164" formatCode="_-[$$-409]* #,##0.00_ ;_-[$$-409]* \-#,##0.00\ ;_-[$$-409]* &quot;-&quot;??_ ;_-@_ "/>
    </dxf>
    <dxf>
      <font>
        <b val="0"/>
        <i val="0"/>
        <strike val="0"/>
        <condense val="0"/>
        <extend val="0"/>
        <outline val="0"/>
        <shadow val="0"/>
        <u val="none"/>
        <vertAlign val="baseline"/>
        <sz val="11"/>
        <color theme="0"/>
        <name val="Calibri"/>
        <family val="2"/>
        <scheme val="minor"/>
      </font>
      <numFmt numFmtId="164" formatCode="_-[$$-409]* #,##0.00_ ;_-[$$-409]* \-#,##0.00\ ;_-[$$-409]* &quot;-&quot;??_ ;_-@_ "/>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dxf>
    <dxf>
      <alignment horizontal="center" vertical="center"/>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dxf>
    <dxf>
      <alignment horizontal="left" vertical="center"/>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lef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rgb="FFFFFFFF"/>
        <name val="Calibri"/>
        <scheme val="none"/>
      </font>
      <fill>
        <patternFill patternType="solid">
          <fgColor indexed="64"/>
          <bgColor theme="4"/>
        </patternFill>
      </fill>
      <alignment horizontal="center" vertical="center" textRotation="0" wrapText="1"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213016</xdr:colOff>
      <xdr:row>0</xdr:row>
      <xdr:rowOff>6927</xdr:rowOff>
    </xdr:from>
    <xdr:to>
      <xdr:col>6</xdr:col>
      <xdr:colOff>3466</xdr:colOff>
      <xdr:row>5</xdr:row>
      <xdr:rowOff>172771</xdr:rowOff>
    </xdr:to>
    <xdr:pic>
      <xdr:nvPicPr>
        <xdr:cNvPr id="2" name="Picture 4">
          <a:extLst>
            <a:ext uri="{FF2B5EF4-FFF2-40B4-BE49-F238E27FC236}">
              <a16:creationId xmlns:a16="http://schemas.microsoft.com/office/drawing/2014/main" id="{1BEC900D-EFAF-45CE-A26C-739AE998FC3F}"/>
            </a:ext>
          </a:extLst>
        </xdr:cNvPr>
        <xdr:cNvPicPr>
          <a:picLocks noChangeAspect="1"/>
        </xdr:cNvPicPr>
      </xdr:nvPicPr>
      <xdr:blipFill>
        <a:blip xmlns:r="http://schemas.openxmlformats.org/officeDocument/2006/relationships" r:embed="rId1"/>
        <a:stretch>
          <a:fillRect/>
        </a:stretch>
      </xdr:blipFill>
      <xdr:spPr>
        <a:xfrm>
          <a:off x="5882296" y="6927"/>
          <a:ext cx="2552700" cy="1080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1626871</xdr:colOff>
      <xdr:row>0</xdr:row>
      <xdr:rowOff>28575</xdr:rowOff>
    </xdr:from>
    <xdr:to>
      <xdr:col>5</xdr:col>
      <xdr:colOff>1554481</xdr:colOff>
      <xdr:row>6</xdr:row>
      <xdr:rowOff>17254</xdr:rowOff>
    </xdr:to>
    <xdr:pic>
      <xdr:nvPicPr>
        <xdr:cNvPr id="3" name="Picture 4">
          <a:extLst>
            <a:ext uri="{FF2B5EF4-FFF2-40B4-BE49-F238E27FC236}">
              <a16:creationId xmlns:a16="http://schemas.microsoft.com/office/drawing/2014/main" id="{D87BF172-4910-403D-862D-F182BD271955}"/>
            </a:ext>
          </a:extLst>
        </xdr:cNvPr>
        <xdr:cNvPicPr>
          <a:picLocks noChangeAspect="1"/>
        </xdr:cNvPicPr>
      </xdr:nvPicPr>
      <xdr:blipFill>
        <a:blip xmlns:r="http://schemas.openxmlformats.org/officeDocument/2006/relationships" r:embed="rId1"/>
        <a:stretch>
          <a:fillRect/>
        </a:stretch>
      </xdr:blipFill>
      <xdr:spPr>
        <a:xfrm>
          <a:off x="7675246" y="28575"/>
          <a:ext cx="2575560" cy="1074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0</xdr:colOff>
      <xdr:row>5</xdr:row>
      <xdr:rowOff>152400</xdr:rowOff>
    </xdr:to>
    <xdr:pic>
      <xdr:nvPicPr>
        <xdr:cNvPr id="4" name="Picture 4">
          <a:extLst>
            <a:ext uri="{FF2B5EF4-FFF2-40B4-BE49-F238E27FC236}">
              <a16:creationId xmlns:a16="http://schemas.microsoft.com/office/drawing/2014/main" id="{E1826DB3-F0B7-4E7A-B9FB-F4B54A1BC7B7}"/>
            </a:ext>
          </a:extLst>
        </xdr:cNvPr>
        <xdr:cNvPicPr>
          <a:picLocks noChangeAspect="1"/>
        </xdr:cNvPicPr>
      </xdr:nvPicPr>
      <xdr:blipFill>
        <a:blip xmlns:r="http://schemas.openxmlformats.org/officeDocument/2006/relationships" r:embed="rId1"/>
        <a:stretch>
          <a:fillRect/>
        </a:stretch>
      </xdr:blipFill>
      <xdr:spPr>
        <a:xfrm>
          <a:off x="6991350" y="0"/>
          <a:ext cx="2705100" cy="1057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5558791</xdr:colOff>
      <xdr:row>0</xdr:row>
      <xdr:rowOff>0</xdr:rowOff>
    </xdr:from>
    <xdr:to>
      <xdr:col>2</xdr:col>
      <xdr:colOff>1466</xdr:colOff>
      <xdr:row>5</xdr:row>
      <xdr:rowOff>154414</xdr:rowOff>
    </xdr:to>
    <xdr:pic>
      <xdr:nvPicPr>
        <xdr:cNvPr id="3" name="Picture 4">
          <a:extLst>
            <a:ext uri="{FF2B5EF4-FFF2-40B4-BE49-F238E27FC236}">
              <a16:creationId xmlns:a16="http://schemas.microsoft.com/office/drawing/2014/main" id="{3B9A02C1-B003-417D-9DE3-B611A7F091EE}"/>
            </a:ext>
          </a:extLst>
        </xdr:cNvPr>
        <xdr:cNvPicPr>
          <a:picLocks noChangeAspect="1"/>
        </xdr:cNvPicPr>
      </xdr:nvPicPr>
      <xdr:blipFill>
        <a:blip xmlns:r="http://schemas.openxmlformats.org/officeDocument/2006/relationships" r:embed="rId1"/>
        <a:stretch>
          <a:fillRect/>
        </a:stretch>
      </xdr:blipFill>
      <xdr:spPr>
        <a:xfrm>
          <a:off x="6305551" y="0"/>
          <a:ext cx="2560320" cy="1068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66675</xdr:colOff>
      <xdr:row>7</xdr:row>
      <xdr:rowOff>57150</xdr:rowOff>
    </xdr:from>
    <xdr:to>
      <xdr:col>28</xdr:col>
      <xdr:colOff>333375</xdr:colOff>
      <xdr:row>23</xdr:row>
      <xdr:rowOff>129540</xdr:rowOff>
    </xdr:to>
    <xdr:pic>
      <xdr:nvPicPr>
        <xdr:cNvPr id="2" name="Picture 1">
          <a:extLst>
            <a:ext uri="{FF2B5EF4-FFF2-40B4-BE49-F238E27FC236}">
              <a16:creationId xmlns:a16="http://schemas.microsoft.com/office/drawing/2014/main" id="{67D01095-3CC8-47B7-BD68-C194D5088FBE}"/>
            </a:ext>
            <a:ext uri="{147F2762-F138-4A5C-976F-8EAC2B608ADB}">
              <a16:predDERef xmlns:a16="http://schemas.microsoft.com/office/drawing/2014/main" pred="{2A015FA7-83B8-91B3-6B89-6A16265C1B14}"/>
            </a:ext>
          </a:extLst>
        </xdr:cNvPr>
        <xdr:cNvPicPr>
          <a:picLocks noChangeAspect="1"/>
        </xdr:cNvPicPr>
      </xdr:nvPicPr>
      <xdr:blipFill>
        <a:blip xmlns:r="http://schemas.openxmlformats.org/officeDocument/2006/relationships" r:embed="rId1"/>
        <a:stretch>
          <a:fillRect/>
        </a:stretch>
      </xdr:blipFill>
      <xdr:spPr>
        <a:xfrm>
          <a:off x="12555855" y="1535430"/>
          <a:ext cx="8930640" cy="3036570"/>
        </a:xfrm>
        <a:prstGeom prst="rect">
          <a:avLst/>
        </a:prstGeom>
      </xdr:spPr>
    </xdr:pic>
    <xdr:clientData/>
  </xdr:twoCellAnchor>
  <xdr:twoCellAnchor editAs="oneCell">
    <xdr:from>
      <xdr:col>5</xdr:col>
      <xdr:colOff>308610</xdr:colOff>
      <xdr:row>7</xdr:row>
      <xdr:rowOff>83820</xdr:rowOff>
    </xdr:from>
    <xdr:to>
      <xdr:col>17</xdr:col>
      <xdr:colOff>3810</xdr:colOff>
      <xdr:row>37</xdr:row>
      <xdr:rowOff>41910</xdr:rowOff>
    </xdr:to>
    <xdr:pic>
      <xdr:nvPicPr>
        <xdr:cNvPr id="3" name="Picture 2">
          <a:extLst>
            <a:ext uri="{FF2B5EF4-FFF2-40B4-BE49-F238E27FC236}">
              <a16:creationId xmlns:a16="http://schemas.microsoft.com/office/drawing/2014/main" id="{E657A6CE-D717-41D5-A74B-883981A5FFDA}"/>
            </a:ext>
            <a:ext uri="{147F2762-F138-4A5C-976F-8EAC2B608ADB}">
              <a16:predDERef xmlns:a16="http://schemas.microsoft.com/office/drawing/2014/main" pred="{E7E1B0D3-D513-E541-28DC-50C3E7BA6C05}"/>
            </a:ext>
          </a:extLst>
        </xdr:cNvPr>
        <xdr:cNvPicPr>
          <a:picLocks noChangeAspect="1"/>
        </xdr:cNvPicPr>
      </xdr:nvPicPr>
      <xdr:blipFill>
        <a:blip xmlns:r="http://schemas.openxmlformats.org/officeDocument/2006/relationships" r:embed="rId2"/>
        <a:stretch>
          <a:fillRect/>
        </a:stretch>
      </xdr:blipFill>
      <xdr:spPr>
        <a:xfrm>
          <a:off x="5718810" y="1562100"/>
          <a:ext cx="6766560" cy="54825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567018</xdr:colOff>
      <xdr:row>19</xdr:row>
      <xdr:rowOff>116988</xdr:rowOff>
    </xdr:from>
    <xdr:to>
      <xdr:col>15</xdr:col>
      <xdr:colOff>447334</xdr:colOff>
      <xdr:row>37</xdr:row>
      <xdr:rowOff>52008</xdr:rowOff>
    </xdr:to>
    <xdr:pic>
      <xdr:nvPicPr>
        <xdr:cNvPr id="2" name="Picture 1">
          <a:extLst>
            <a:ext uri="{FF2B5EF4-FFF2-40B4-BE49-F238E27FC236}">
              <a16:creationId xmlns:a16="http://schemas.microsoft.com/office/drawing/2014/main" id="{72882EBF-1C01-4A2F-94A7-86F0C8BC5E3A}"/>
            </a:ext>
          </a:extLst>
        </xdr:cNvPr>
        <xdr:cNvPicPr>
          <a:picLocks noChangeAspect="1"/>
        </xdr:cNvPicPr>
      </xdr:nvPicPr>
      <xdr:blipFill>
        <a:blip xmlns:r="http://schemas.openxmlformats.org/officeDocument/2006/relationships" r:embed="rId1"/>
        <a:stretch>
          <a:fillRect/>
        </a:stretch>
      </xdr:blipFill>
      <xdr:spPr>
        <a:xfrm>
          <a:off x="4864698" y="3835548"/>
          <a:ext cx="7606996" cy="324478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685700-DB57-4E42-ADA8-F0F7B6C6FF0E}" name="Table14542" displayName="Table14542" ref="A10:F172" totalsRowCount="1" headerRowDxfId="27" dataDxfId="26" totalsRowDxfId="25">
  <autoFilter ref="A10:F171" xr:uid="{6AB692BA-9B17-4293-8B58-757C4BE9714F}"/>
  <tableColumns count="6">
    <tableColumn id="1" xr3:uid="{313CB00D-22C7-4C58-AA0A-7EF635B600AD}" name="Ref." totalsRowLabel="Total" totalsRowDxfId="24"/>
    <tableColumn id="2" xr3:uid="{79CC278E-7754-4EBD-A0C5-498081F69937}" name="Description" dataDxfId="22" totalsRowDxfId="23"/>
    <tableColumn id="4" xr3:uid="{9726978A-7DD3-4EC5-B6E7-62C8DBB99313}" name="Unit" dataDxfId="20" totalsRowDxfId="21"/>
    <tableColumn id="5" xr3:uid="{5F9DECFC-C19B-4756-AB13-5137045C5416}" name="Quantity" dataDxfId="18" totalsRowDxfId="19"/>
    <tableColumn id="6" xr3:uid="{A419094D-BFF2-42C1-A197-EBD2C43402C3}" name="Unit cost (USD)" totalsRowDxfId="17"/>
    <tableColumn id="7" xr3:uid="{13DD57DC-1723-42CA-805F-C0BB9BE89853}" name="Cost (USD)" totalsRowFunction="custom" dataDxfId="15" totalsRowDxfId="16" dataCellStyle="Comma">
      <calculatedColumnFormula>Table14542[[#This Row],[Unit cost (USD)]]*Table14542[[#This Row],[Quantity]]</calculatedColumnFormula>
      <totalsRowFormula>SUM(F169,F164,F147,F130,F113,F96,F79,F62,F45,F28,F11)</totalsRow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243A5-65E2-44ED-B41D-39028997C941}" name="Table14" displayName="Table14" ref="A9:F23" totalsRowCount="1" headerRowDxfId="14" dataDxfId="13" totalsRowDxfId="12">
  <tableColumns count="6">
    <tableColumn id="1" xr3:uid="{09985398-1EA5-45C6-A46E-2219A7E0B29E}" name="Ref." dataDxfId="10" totalsRowDxfId="11"/>
    <tableColumn id="2" xr3:uid="{B97AD8B7-C89E-48C5-9D64-CB6EFD968914}" name="ID" dataDxfId="8" totalsRowDxfId="9"/>
    <tableColumn id="5" xr3:uid="{AA2E45E7-3500-498E-A9E1-20032C0F5BF4}" name="GPS Coordinates " dataDxfId="6" totalsRowDxfId="7"/>
    <tableColumn id="3" xr3:uid="{DB268823-5149-4730-8BEB-C3471EE2D41A}" name="Intervention type " dataDxfId="4" totalsRowDxfId="5"/>
    <tableColumn id="4" xr3:uid="{77F71CDE-0F3D-43B8-B9F9-848C66EA7614}" name="Scenario" dataDxfId="2" totalsRowDxfId="3"/>
    <tableColumn id="6" xr3:uid="{0D7B92B7-D5B0-45E4-8BD6-AAD1F976AAA3}" name="Drawing Reference " dataDxfId="0" totalsRowDxfId="1"/>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4E9E1-7A09-450B-8B90-5EAC7CF6C651}">
  <sheetPr>
    <tabColor theme="4" tint="0.59999389629810485"/>
    <pageSetUpPr fitToPage="1"/>
  </sheetPr>
  <dimension ref="A1:F172"/>
  <sheetViews>
    <sheetView topLeftCell="A48" zoomScaleNormal="100" zoomScaleSheetLayoutView="99" workbookViewId="0">
      <selection activeCell="I31" sqref="I31"/>
    </sheetView>
  </sheetViews>
  <sheetFormatPr defaultRowHeight="14.45"/>
  <cols>
    <col min="2" max="2" width="74.42578125" customWidth="1"/>
    <col min="3" max="3" width="10" bestFit="1" customWidth="1"/>
    <col min="4" max="4" width="12.85546875" bestFit="1" customWidth="1"/>
    <col min="5" max="5" width="13.42578125" bestFit="1" customWidth="1"/>
    <col min="6" max="6" width="14.42578125" bestFit="1" customWidth="1"/>
  </cols>
  <sheetData>
    <row r="1" spans="1:6">
      <c r="A1" s="1" t="s">
        <v>0</v>
      </c>
    </row>
    <row r="2" spans="1:6">
      <c r="A2" t="s">
        <v>1</v>
      </c>
    </row>
    <row r="3" spans="1:6">
      <c r="A3" t="s">
        <v>2</v>
      </c>
    </row>
    <row r="4" spans="1:6">
      <c r="A4" t="s">
        <v>3</v>
      </c>
    </row>
    <row r="5" spans="1:6">
      <c r="A5" t="s">
        <v>4</v>
      </c>
    </row>
    <row r="7" spans="1:6" ht="15" customHeight="1">
      <c r="A7" s="113" t="s">
        <v>5</v>
      </c>
      <c r="B7" s="114"/>
      <c r="C7" s="114"/>
      <c r="D7" s="114"/>
      <c r="E7" s="114"/>
      <c r="F7" s="115"/>
    </row>
    <row r="8" spans="1:6" ht="15" customHeight="1">
      <c r="A8" s="116"/>
      <c r="B8" s="117"/>
      <c r="C8" s="117"/>
      <c r="D8" s="117"/>
      <c r="E8" s="117"/>
      <c r="F8" s="118"/>
    </row>
    <row r="9" spans="1:6" ht="198" customHeight="1">
      <c r="A9" s="119" t="s">
        <v>6</v>
      </c>
      <c r="B9" s="120"/>
      <c r="C9" s="120"/>
      <c r="D9" s="120"/>
      <c r="E9" s="120"/>
      <c r="F9" s="121"/>
    </row>
    <row r="10" spans="1:6" ht="30.75">
      <c r="A10" s="23" t="s">
        <v>7</v>
      </c>
      <c r="B10" s="23" t="s">
        <v>8</v>
      </c>
      <c r="C10" s="24" t="s">
        <v>9</v>
      </c>
      <c r="D10" s="25" t="s">
        <v>10</v>
      </c>
      <c r="E10" s="25" t="s">
        <v>11</v>
      </c>
      <c r="F10" s="25" t="s">
        <v>12</v>
      </c>
    </row>
    <row r="11" spans="1:6">
      <c r="A11" s="8">
        <v>1</v>
      </c>
      <c r="B11" s="9" t="s">
        <v>13</v>
      </c>
      <c r="C11" s="10"/>
      <c r="D11" s="11"/>
      <c r="E11" s="12"/>
      <c r="F11" s="13">
        <f>SUM(F12,F16,F21)</f>
        <v>0</v>
      </c>
    </row>
    <row r="12" spans="1:6">
      <c r="A12" s="35">
        <v>1.1000000000000001</v>
      </c>
      <c r="B12" s="36" t="s">
        <v>14</v>
      </c>
      <c r="C12" s="37"/>
      <c r="D12" s="38"/>
      <c r="E12" s="39"/>
      <c r="F12" s="40">
        <f>SUM(F13:F15)</f>
        <v>0</v>
      </c>
    </row>
    <row r="13" spans="1:6" ht="55.15">
      <c r="A13" s="14" t="s">
        <v>15</v>
      </c>
      <c r="B13" s="15" t="s">
        <v>16</v>
      </c>
      <c r="C13" s="91" t="s">
        <v>17</v>
      </c>
      <c r="D13" s="17">
        <f>(3+1.835+1.835+0.147+0.147)*(19.2+2+2)</f>
        <v>161.56479999999999</v>
      </c>
      <c r="E13" s="18"/>
      <c r="F13" s="19">
        <f>Table14542[[#This Row],[Unit cost (USD)]]*Table14542[[#This Row],[Quantity]]</f>
        <v>0</v>
      </c>
    </row>
    <row r="14" spans="1:6" ht="82.9">
      <c r="A14" s="14" t="s">
        <v>18</v>
      </c>
      <c r="B14" s="15" t="s">
        <v>19</v>
      </c>
      <c r="C14" s="91" t="s">
        <v>20</v>
      </c>
      <c r="D14" s="17">
        <f>D13*2.5</f>
        <v>403.91199999999998</v>
      </c>
      <c r="E14" s="18"/>
      <c r="F14" s="112">
        <f>Table14542[[#This Row],[Unit cost (USD)]]*Table14542[[#This Row],[Quantity]]</f>
        <v>0</v>
      </c>
    </row>
    <row r="15" spans="1:6" ht="41.45">
      <c r="A15" s="14" t="s">
        <v>21</v>
      </c>
      <c r="B15" s="15" t="s">
        <v>22</v>
      </c>
      <c r="C15" s="16" t="s">
        <v>20</v>
      </c>
      <c r="D15" s="17">
        <f>D13*0.35</f>
        <v>56.547679999999993</v>
      </c>
      <c r="E15" s="18"/>
      <c r="F15" s="19">
        <f>Table14542[[#This Row],[Unit cost (USD)]]*Table14542[[#This Row],[Quantity]]</f>
        <v>0</v>
      </c>
    </row>
    <row r="16" spans="1:6">
      <c r="A16" s="35">
        <v>1.2</v>
      </c>
      <c r="B16" s="36" t="s">
        <v>23</v>
      </c>
      <c r="C16" s="37"/>
      <c r="D16" s="38"/>
      <c r="E16" s="39"/>
      <c r="F16" s="40">
        <f>SUM(F17:F20)</f>
        <v>0</v>
      </c>
    </row>
    <row r="17" spans="1:6" ht="41.45">
      <c r="A17" s="14" t="s">
        <v>24</v>
      </c>
      <c r="B17" s="105" t="s">
        <v>25</v>
      </c>
      <c r="C17" s="16" t="s">
        <v>20</v>
      </c>
      <c r="D17" s="17">
        <f>0.3*((3+0.2+0.2)*(17.6+1.6))</f>
        <v>19.584000000000003</v>
      </c>
      <c r="E17" s="18"/>
      <c r="F17" s="19">
        <f>Table14542[[#This Row],[Unit cost (USD)]]*Table14542[[#This Row],[Quantity]]</f>
        <v>0</v>
      </c>
    </row>
    <row r="18" spans="1:6" ht="39.950000000000003" customHeight="1">
      <c r="A18" s="14" t="s">
        <v>26</v>
      </c>
      <c r="B18" s="106" t="s">
        <v>27</v>
      </c>
      <c r="C18" s="16" t="s">
        <v>20</v>
      </c>
      <c r="D18" s="17">
        <f>2*(0.3*((1.835*2)+(3*2)))</f>
        <v>5.8019999999999996</v>
      </c>
      <c r="E18" s="18"/>
      <c r="F18" s="19">
        <f>Table14542[[#This Row],[Unit cost (USD)]]*Table14542[[#This Row],[Quantity]]</f>
        <v>0</v>
      </c>
    </row>
    <row r="19" spans="1:6" ht="55.15">
      <c r="A19" s="14" t="s">
        <v>28</v>
      </c>
      <c r="B19" s="42" t="s">
        <v>29</v>
      </c>
      <c r="C19" s="16" t="s">
        <v>20</v>
      </c>
      <c r="D19" s="17">
        <f>24*3.06</f>
        <v>73.44</v>
      </c>
      <c r="E19" s="18"/>
      <c r="F19" s="19">
        <f>Table14542[[#This Row],[Unit cost (USD)]]*Table14542[[#This Row],[Quantity]]</f>
        <v>0</v>
      </c>
    </row>
    <row r="20" spans="1:6" ht="55.15">
      <c r="A20" s="14" t="s">
        <v>30</v>
      </c>
      <c r="B20" s="42" t="s">
        <v>31</v>
      </c>
      <c r="C20" s="16" t="s">
        <v>20</v>
      </c>
      <c r="D20" s="17">
        <f>(6*0.45)+4.89</f>
        <v>7.59</v>
      </c>
      <c r="E20" s="18"/>
      <c r="F20" s="19">
        <f>Table14542[[#This Row],[Unit cost (USD)]]*Table14542[[#This Row],[Quantity]]</f>
        <v>0</v>
      </c>
    </row>
    <row r="21" spans="1:6">
      <c r="A21" s="35">
        <v>1.3</v>
      </c>
      <c r="B21" s="36" t="s">
        <v>32</v>
      </c>
      <c r="C21" s="37"/>
      <c r="D21" s="38"/>
      <c r="E21" s="39"/>
      <c r="F21" s="40">
        <f>SUM(F22:F27)</f>
        <v>0</v>
      </c>
    </row>
    <row r="22" spans="1:6" ht="27.6">
      <c r="A22" s="14" t="s">
        <v>33</v>
      </c>
      <c r="B22" s="43" t="s">
        <v>34</v>
      </c>
      <c r="C22" s="16" t="s">
        <v>35</v>
      </c>
      <c r="D22" s="17">
        <f>228*2</f>
        <v>456</v>
      </c>
      <c r="E22" s="20"/>
      <c r="F22" s="19">
        <f>Table14542[[#This Row],[Unit cost (USD)]]*Table14542[[#This Row],[Quantity]]</f>
        <v>0</v>
      </c>
    </row>
    <row r="23" spans="1:6" ht="27.6">
      <c r="A23" s="14" t="s">
        <v>36</v>
      </c>
      <c r="B23" s="15" t="s">
        <v>37</v>
      </c>
      <c r="C23" s="16" t="s">
        <v>35</v>
      </c>
      <c r="D23" s="17">
        <f>54*2</f>
        <v>108</v>
      </c>
      <c r="E23" s="20"/>
      <c r="F23" s="19">
        <f>Table14542[[#This Row],[Unit cost (USD)]]*Table14542[[#This Row],[Quantity]]</f>
        <v>0</v>
      </c>
    </row>
    <row r="24" spans="1:6" ht="27.6">
      <c r="A24" s="14" t="s">
        <v>38</v>
      </c>
      <c r="B24" s="15" t="s">
        <v>39</v>
      </c>
      <c r="C24" s="16" t="s">
        <v>35</v>
      </c>
      <c r="D24" s="17">
        <f>25*2</f>
        <v>50</v>
      </c>
      <c r="E24" s="20"/>
      <c r="F24" s="19">
        <f>Table14542[[#This Row],[Unit cost (USD)]]*Table14542[[#This Row],[Quantity]]</f>
        <v>0</v>
      </c>
    </row>
    <row r="25" spans="1:6" ht="27.6">
      <c r="A25" s="14" t="s">
        <v>40</v>
      </c>
      <c r="B25" s="43" t="s">
        <v>41</v>
      </c>
      <c r="C25" s="16" t="s">
        <v>35</v>
      </c>
      <c r="D25" s="17">
        <f>6*2</f>
        <v>12</v>
      </c>
      <c r="E25" s="20"/>
      <c r="F25" s="19">
        <f>Table14542[[#This Row],[Unit cost (USD)]]*Table14542[[#This Row],[Quantity]]</f>
        <v>0</v>
      </c>
    </row>
    <row r="26" spans="1:6" ht="27.6">
      <c r="A26" s="14" t="s">
        <v>42</v>
      </c>
      <c r="B26" s="42" t="s">
        <v>43</v>
      </c>
      <c r="C26" s="16" t="s">
        <v>35</v>
      </c>
      <c r="D26" s="17">
        <f>21*2</f>
        <v>42</v>
      </c>
      <c r="E26" s="20"/>
      <c r="F26" s="19">
        <f>Table14542[[#This Row],[Unit cost (USD)]]*Table14542[[#This Row],[Quantity]]</f>
        <v>0</v>
      </c>
    </row>
    <row r="27" spans="1:6" ht="27.6">
      <c r="A27" s="14" t="s">
        <v>44</v>
      </c>
      <c r="B27" s="43" t="s">
        <v>45</v>
      </c>
      <c r="C27" s="16" t="s">
        <v>35</v>
      </c>
      <c r="D27" s="17">
        <f>19*2</f>
        <v>38</v>
      </c>
      <c r="E27" s="20"/>
      <c r="F27" s="19">
        <f>Table14542[[#This Row],[Unit cost (USD)]]*Table14542[[#This Row],[Quantity]]</f>
        <v>0</v>
      </c>
    </row>
    <row r="28" spans="1:6">
      <c r="A28" s="8">
        <v>2</v>
      </c>
      <c r="B28" s="9" t="s">
        <v>46</v>
      </c>
      <c r="C28" s="10"/>
      <c r="D28" s="11"/>
      <c r="E28" s="12"/>
      <c r="F28" s="13">
        <f>SUM(F29,F33,F38)</f>
        <v>0</v>
      </c>
    </row>
    <row r="29" spans="1:6">
      <c r="A29" s="35">
        <v>2.1</v>
      </c>
      <c r="B29" s="36" t="s">
        <v>14</v>
      </c>
      <c r="C29" s="37"/>
      <c r="D29" s="38"/>
      <c r="E29" s="39"/>
      <c r="F29" s="40">
        <f>SUM(F30:F32)</f>
        <v>0</v>
      </c>
    </row>
    <row r="30" spans="1:6" ht="55.15">
      <c r="A30" s="14" t="s">
        <v>47</v>
      </c>
      <c r="B30" s="15" t="s">
        <v>16</v>
      </c>
      <c r="C30" s="16" t="s">
        <v>17</v>
      </c>
      <c r="D30" s="17">
        <f>(3+1.835+1.835+0.147+0.147)*(15+2+2)</f>
        <v>132.316</v>
      </c>
      <c r="E30" s="18"/>
      <c r="F30" s="19">
        <f>Table14542[[#This Row],[Unit cost (USD)]]*Table14542[[#This Row],[Quantity]]</f>
        <v>0</v>
      </c>
    </row>
    <row r="31" spans="1:6" ht="78.75" customHeight="1">
      <c r="A31" s="14" t="s">
        <v>48</v>
      </c>
      <c r="B31" s="15" t="s">
        <v>19</v>
      </c>
      <c r="C31" s="16" t="s">
        <v>20</v>
      </c>
      <c r="D31" s="17">
        <f>D30*0.5</f>
        <v>66.158000000000001</v>
      </c>
      <c r="E31" s="18"/>
      <c r="F31" s="112">
        <f>Table14542[[#This Row],[Unit cost (USD)]]*Table14542[[#This Row],[Quantity]]</f>
        <v>0</v>
      </c>
    </row>
    <row r="32" spans="1:6" ht="41.45">
      <c r="A32" s="14" t="s">
        <v>49</v>
      </c>
      <c r="B32" s="15" t="s">
        <v>22</v>
      </c>
      <c r="C32" s="16" t="s">
        <v>20</v>
      </c>
      <c r="D32" s="17">
        <f>D30*0.35</f>
        <v>46.310600000000001</v>
      </c>
      <c r="E32" s="18"/>
      <c r="F32" s="19">
        <f>Table14542[[#This Row],[Unit cost (USD)]]*Table14542[[#This Row],[Quantity]]</f>
        <v>0</v>
      </c>
    </row>
    <row r="33" spans="1:6">
      <c r="A33" s="35">
        <v>2.2000000000000002</v>
      </c>
      <c r="B33" s="36" t="s">
        <v>23</v>
      </c>
      <c r="C33" s="37"/>
      <c r="D33" s="38"/>
      <c r="E33" s="39"/>
      <c r="F33" s="40">
        <f>SUM(F34:F37)</f>
        <v>0</v>
      </c>
    </row>
    <row r="34" spans="1:6" ht="41.45">
      <c r="A34" s="14" t="s">
        <v>50</v>
      </c>
      <c r="B34" s="15" t="s">
        <v>51</v>
      </c>
      <c r="C34" s="16" t="s">
        <v>20</v>
      </c>
      <c r="D34" s="17">
        <f>0.3*((3+0.2+0.2)*(15))</f>
        <v>15.3</v>
      </c>
      <c r="E34" s="18"/>
      <c r="F34" s="19">
        <f>Table14542[[#This Row],[Unit cost (USD)]]*Table14542[[#This Row],[Quantity]]</f>
        <v>0</v>
      </c>
    </row>
    <row r="35" spans="1:6" ht="41.45">
      <c r="A35" s="14" t="s">
        <v>52</v>
      </c>
      <c r="B35" s="43" t="s">
        <v>53</v>
      </c>
      <c r="C35" s="16" t="s">
        <v>20</v>
      </c>
      <c r="D35" s="17">
        <f>2*(0.3*((1.835*2)+(3*2)))</f>
        <v>5.8019999999999996</v>
      </c>
      <c r="E35" s="18"/>
      <c r="F35" s="19">
        <f>Table14542[[#This Row],[Unit cost (USD)]]*Table14542[[#This Row],[Quantity]]</f>
        <v>0</v>
      </c>
    </row>
    <row r="36" spans="1:6" ht="55.15">
      <c r="A36" s="14" t="s">
        <v>54</v>
      </c>
      <c r="B36" s="42" t="s">
        <v>29</v>
      </c>
      <c r="C36" s="16" t="s">
        <v>20</v>
      </c>
      <c r="D36" s="17">
        <f>16*3.06</f>
        <v>48.96</v>
      </c>
      <c r="E36" s="18"/>
      <c r="F36" s="19">
        <f>Table14542[[#This Row],[Unit cost (USD)]]*Table14542[[#This Row],[Quantity]]</f>
        <v>0</v>
      </c>
    </row>
    <row r="37" spans="1:6" ht="55.15">
      <c r="A37" s="14" t="s">
        <v>55</v>
      </c>
      <c r="B37" s="42" t="s">
        <v>31</v>
      </c>
      <c r="C37" s="16" t="s">
        <v>20</v>
      </c>
      <c r="D37" s="17">
        <f>(6*0.45)+4.89</f>
        <v>7.59</v>
      </c>
      <c r="E37" s="18"/>
      <c r="F37" s="19">
        <f>Table14542[[#This Row],[Unit cost (USD)]]*Table14542[[#This Row],[Quantity]]</f>
        <v>0</v>
      </c>
    </row>
    <row r="38" spans="1:6">
      <c r="A38" s="35">
        <v>2.2999999999999998</v>
      </c>
      <c r="B38" s="36" t="s">
        <v>32</v>
      </c>
      <c r="C38" s="37"/>
      <c r="D38" s="38"/>
      <c r="E38" s="39"/>
      <c r="F38" s="40">
        <f>SUM(F39:F44)</f>
        <v>0</v>
      </c>
    </row>
    <row r="39" spans="1:6" ht="27.6">
      <c r="A39" s="14" t="s">
        <v>56</v>
      </c>
      <c r="B39" s="43" t="s">
        <v>34</v>
      </c>
      <c r="C39" s="16" t="s">
        <v>35</v>
      </c>
      <c r="D39" s="17">
        <f>228*2</f>
        <v>456</v>
      </c>
      <c r="E39" s="20"/>
      <c r="F39" s="19">
        <f>Table14542[[#This Row],[Unit cost (USD)]]*Table14542[[#This Row],[Quantity]]</f>
        <v>0</v>
      </c>
    </row>
    <row r="40" spans="1:6" ht="27.6">
      <c r="A40" s="14" t="s">
        <v>57</v>
      </c>
      <c r="B40" s="15" t="s">
        <v>37</v>
      </c>
      <c r="C40" s="16" t="s">
        <v>35</v>
      </c>
      <c r="D40" s="17">
        <f>54*2</f>
        <v>108</v>
      </c>
      <c r="E40" s="20"/>
      <c r="F40" s="19">
        <f>Table14542[[#This Row],[Unit cost (USD)]]*Table14542[[#This Row],[Quantity]]</f>
        <v>0</v>
      </c>
    </row>
    <row r="41" spans="1:6" ht="27.6">
      <c r="A41" s="14" t="s">
        <v>58</v>
      </c>
      <c r="B41" s="15" t="s">
        <v>39</v>
      </c>
      <c r="C41" s="16" t="s">
        <v>35</v>
      </c>
      <c r="D41" s="17">
        <f>25*2</f>
        <v>50</v>
      </c>
      <c r="E41" s="20"/>
      <c r="F41" s="19">
        <f>Table14542[[#This Row],[Unit cost (USD)]]*Table14542[[#This Row],[Quantity]]</f>
        <v>0</v>
      </c>
    </row>
    <row r="42" spans="1:6" ht="27.6">
      <c r="A42" s="14" t="s">
        <v>59</v>
      </c>
      <c r="B42" s="43" t="s">
        <v>41</v>
      </c>
      <c r="C42" s="16" t="s">
        <v>35</v>
      </c>
      <c r="D42" s="17">
        <f>6*2</f>
        <v>12</v>
      </c>
      <c r="E42" s="20"/>
      <c r="F42" s="19">
        <f>Table14542[[#This Row],[Unit cost (USD)]]*Table14542[[#This Row],[Quantity]]</f>
        <v>0</v>
      </c>
    </row>
    <row r="43" spans="1:6" ht="27.6">
      <c r="A43" s="14" t="s">
        <v>60</v>
      </c>
      <c r="B43" s="42" t="s">
        <v>43</v>
      </c>
      <c r="C43" s="16" t="s">
        <v>35</v>
      </c>
      <c r="D43" s="17">
        <f>21*2</f>
        <v>42</v>
      </c>
      <c r="E43" s="20"/>
      <c r="F43" s="19">
        <f>Table14542[[#This Row],[Unit cost (USD)]]*Table14542[[#This Row],[Quantity]]</f>
        <v>0</v>
      </c>
    </row>
    <row r="44" spans="1:6" ht="27.6">
      <c r="A44" s="14" t="s">
        <v>61</v>
      </c>
      <c r="B44" s="43" t="s">
        <v>45</v>
      </c>
      <c r="C44" s="16" t="s">
        <v>35</v>
      </c>
      <c r="D44" s="17">
        <f>19*2</f>
        <v>38</v>
      </c>
      <c r="E44" s="20"/>
      <c r="F44" s="19">
        <f>Table14542[[#This Row],[Unit cost (USD)]]*Table14542[[#This Row],[Quantity]]</f>
        <v>0</v>
      </c>
    </row>
    <row r="45" spans="1:6">
      <c r="A45" s="8">
        <v>3</v>
      </c>
      <c r="B45" s="9" t="s">
        <v>62</v>
      </c>
      <c r="C45" s="10"/>
      <c r="D45" s="11"/>
      <c r="E45" s="12"/>
      <c r="F45" s="13">
        <f>SUM(F46,F50,F55)</f>
        <v>0</v>
      </c>
    </row>
    <row r="46" spans="1:6">
      <c r="A46" s="35">
        <v>3.1</v>
      </c>
      <c r="B46" s="36" t="s">
        <v>14</v>
      </c>
      <c r="C46" s="37"/>
      <c r="D46" s="38"/>
      <c r="E46" s="39"/>
      <c r="F46" s="40">
        <f>SUM(F47:F49)</f>
        <v>0</v>
      </c>
    </row>
    <row r="47" spans="1:6" ht="55.15">
      <c r="A47" s="14" t="s">
        <v>63</v>
      </c>
      <c r="B47" s="15" t="s">
        <v>16</v>
      </c>
      <c r="C47" s="16" t="s">
        <v>17</v>
      </c>
      <c r="D47" s="17">
        <f>(3+1.835+1.835+0.147+0.147)*(15+2+2)</f>
        <v>132.316</v>
      </c>
      <c r="E47" s="18"/>
      <c r="F47" s="19">
        <f>Table14542[[#This Row],[Unit cost (USD)]]*Table14542[[#This Row],[Quantity]]</f>
        <v>0</v>
      </c>
    </row>
    <row r="48" spans="1:6" ht="82.9">
      <c r="A48" s="14" t="s">
        <v>64</v>
      </c>
      <c r="B48" s="15" t="s">
        <v>19</v>
      </c>
      <c r="C48" s="16" t="s">
        <v>20</v>
      </c>
      <c r="D48" s="17">
        <f>D47*0.5</f>
        <v>66.158000000000001</v>
      </c>
      <c r="E48" s="18"/>
      <c r="F48" s="112">
        <f>Table14542[[#This Row],[Unit cost (USD)]]*Table14542[[#This Row],[Quantity]]</f>
        <v>0</v>
      </c>
    </row>
    <row r="49" spans="1:6" ht="41.45">
      <c r="A49" s="14" t="s">
        <v>65</v>
      </c>
      <c r="B49" s="15" t="s">
        <v>22</v>
      </c>
      <c r="C49" s="16" t="s">
        <v>20</v>
      </c>
      <c r="D49" s="17">
        <f>D47*0.35</f>
        <v>46.310600000000001</v>
      </c>
      <c r="E49" s="18"/>
      <c r="F49" s="19">
        <f>Table14542[[#This Row],[Unit cost (USD)]]*Table14542[[#This Row],[Quantity]]</f>
        <v>0</v>
      </c>
    </row>
    <row r="50" spans="1:6">
      <c r="A50" s="35">
        <v>3.2</v>
      </c>
      <c r="B50" s="36" t="s">
        <v>23</v>
      </c>
      <c r="C50" s="37"/>
      <c r="D50" s="38"/>
      <c r="E50" s="39"/>
      <c r="F50" s="40">
        <f>SUM(F51:F54)</f>
        <v>0</v>
      </c>
    </row>
    <row r="51" spans="1:6" ht="41.45">
      <c r="A51" s="14" t="s">
        <v>66</v>
      </c>
      <c r="B51" s="15" t="s">
        <v>51</v>
      </c>
      <c r="C51" s="16" t="s">
        <v>20</v>
      </c>
      <c r="D51" s="17">
        <f>0.3*((3+0.2+0.2)*(15))</f>
        <v>15.3</v>
      </c>
      <c r="E51" s="18"/>
      <c r="F51" s="19">
        <f>Table14542[[#This Row],[Unit cost (USD)]]*Table14542[[#This Row],[Quantity]]</f>
        <v>0</v>
      </c>
    </row>
    <row r="52" spans="1:6" ht="41.45">
      <c r="A52" s="14" t="s">
        <v>67</v>
      </c>
      <c r="B52" s="43" t="s">
        <v>53</v>
      </c>
      <c r="C52" s="16" t="s">
        <v>20</v>
      </c>
      <c r="D52" s="17">
        <f>2*(0.3*((1.835*2)+(3*2)))</f>
        <v>5.8019999999999996</v>
      </c>
      <c r="E52" s="18"/>
      <c r="F52" s="19">
        <f>Table14542[[#This Row],[Unit cost (USD)]]*Table14542[[#This Row],[Quantity]]</f>
        <v>0</v>
      </c>
    </row>
    <row r="53" spans="1:6" ht="55.15">
      <c r="A53" s="14" t="s">
        <v>68</v>
      </c>
      <c r="B53" s="42" t="s">
        <v>69</v>
      </c>
      <c r="C53" s="16" t="s">
        <v>20</v>
      </c>
      <c r="D53" s="17">
        <f>16*3.06</f>
        <v>48.96</v>
      </c>
      <c r="E53" s="18"/>
      <c r="F53" s="19">
        <f>Table14542[[#This Row],[Unit cost (USD)]]*Table14542[[#This Row],[Quantity]]</f>
        <v>0</v>
      </c>
    </row>
    <row r="54" spans="1:6" ht="55.15">
      <c r="A54" s="14" t="s">
        <v>70</v>
      </c>
      <c r="B54" s="42" t="s">
        <v>31</v>
      </c>
      <c r="C54" s="16" t="s">
        <v>20</v>
      </c>
      <c r="D54" s="17">
        <f>(6*0.45)+4.89</f>
        <v>7.59</v>
      </c>
      <c r="E54" s="18"/>
      <c r="F54" s="19">
        <f>Table14542[[#This Row],[Unit cost (USD)]]*Table14542[[#This Row],[Quantity]]</f>
        <v>0</v>
      </c>
    </row>
    <row r="55" spans="1:6">
      <c r="A55" s="35">
        <v>3.3</v>
      </c>
      <c r="B55" s="36" t="s">
        <v>32</v>
      </c>
      <c r="C55" s="37"/>
      <c r="D55" s="38"/>
      <c r="E55" s="39"/>
      <c r="F55" s="40">
        <f>SUM(F56:F61)</f>
        <v>0</v>
      </c>
    </row>
    <row r="56" spans="1:6" ht="27.6">
      <c r="A56" s="14" t="s">
        <v>71</v>
      </c>
      <c r="B56" s="43" t="s">
        <v>34</v>
      </c>
      <c r="C56" s="16" t="s">
        <v>35</v>
      </c>
      <c r="D56" s="17">
        <f>228*2</f>
        <v>456</v>
      </c>
      <c r="E56" s="20"/>
      <c r="F56" s="19">
        <f>Table14542[[#This Row],[Unit cost (USD)]]*Table14542[[#This Row],[Quantity]]</f>
        <v>0</v>
      </c>
    </row>
    <row r="57" spans="1:6" ht="27.6">
      <c r="A57" s="14" t="s">
        <v>72</v>
      </c>
      <c r="B57" s="15" t="s">
        <v>37</v>
      </c>
      <c r="C57" s="16" t="s">
        <v>35</v>
      </c>
      <c r="D57" s="17">
        <f>54*2</f>
        <v>108</v>
      </c>
      <c r="E57" s="20"/>
      <c r="F57" s="19">
        <f>Table14542[[#This Row],[Unit cost (USD)]]*Table14542[[#This Row],[Quantity]]</f>
        <v>0</v>
      </c>
    </row>
    <row r="58" spans="1:6" ht="27.6">
      <c r="A58" s="14" t="s">
        <v>73</v>
      </c>
      <c r="B58" s="15" t="s">
        <v>39</v>
      </c>
      <c r="C58" s="16" t="s">
        <v>35</v>
      </c>
      <c r="D58" s="17">
        <f>25*2</f>
        <v>50</v>
      </c>
      <c r="E58" s="20"/>
      <c r="F58" s="19">
        <f>Table14542[[#This Row],[Unit cost (USD)]]*Table14542[[#This Row],[Quantity]]</f>
        <v>0</v>
      </c>
    </row>
    <row r="59" spans="1:6" ht="27.6">
      <c r="A59" s="14" t="s">
        <v>74</v>
      </c>
      <c r="B59" s="43" t="s">
        <v>41</v>
      </c>
      <c r="C59" s="16" t="s">
        <v>35</v>
      </c>
      <c r="D59" s="17">
        <f>6*2</f>
        <v>12</v>
      </c>
      <c r="E59" s="20"/>
      <c r="F59" s="19">
        <f>Table14542[[#This Row],[Unit cost (USD)]]*Table14542[[#This Row],[Quantity]]</f>
        <v>0</v>
      </c>
    </row>
    <row r="60" spans="1:6" ht="27.6">
      <c r="A60" s="14" t="s">
        <v>75</v>
      </c>
      <c r="B60" s="42" t="s">
        <v>43</v>
      </c>
      <c r="C60" s="16" t="s">
        <v>35</v>
      </c>
      <c r="D60" s="17">
        <f>21*2</f>
        <v>42</v>
      </c>
      <c r="E60" s="20"/>
      <c r="F60" s="19">
        <f>Table14542[[#This Row],[Unit cost (USD)]]*Table14542[[#This Row],[Quantity]]</f>
        <v>0</v>
      </c>
    </row>
    <row r="61" spans="1:6" ht="27.6">
      <c r="A61" s="14" t="s">
        <v>76</v>
      </c>
      <c r="B61" s="43" t="s">
        <v>45</v>
      </c>
      <c r="C61" s="16" t="s">
        <v>35</v>
      </c>
      <c r="D61" s="17">
        <f>19*2</f>
        <v>38</v>
      </c>
      <c r="E61" s="20"/>
      <c r="F61" s="19">
        <f>Table14542[[#This Row],[Unit cost (USD)]]*Table14542[[#This Row],[Quantity]]</f>
        <v>0</v>
      </c>
    </row>
    <row r="62" spans="1:6">
      <c r="A62" s="8">
        <v>4</v>
      </c>
      <c r="B62" s="9" t="s">
        <v>77</v>
      </c>
      <c r="C62" s="10"/>
      <c r="D62" s="11"/>
      <c r="E62" s="12"/>
      <c r="F62" s="13">
        <f>SUM(F63,F67,F72)</f>
        <v>0</v>
      </c>
    </row>
    <row r="63" spans="1:6">
      <c r="A63" s="35">
        <v>4.0999999999999996</v>
      </c>
      <c r="B63" s="36" t="s">
        <v>14</v>
      </c>
      <c r="C63" s="37"/>
      <c r="D63" s="38"/>
      <c r="E63" s="39"/>
      <c r="F63" s="40">
        <f>SUM(F64:F66)</f>
        <v>0</v>
      </c>
    </row>
    <row r="64" spans="1:6" ht="55.15">
      <c r="A64" s="14" t="s">
        <v>78</v>
      </c>
      <c r="B64" s="15" t="s">
        <v>16</v>
      </c>
      <c r="C64" s="16" t="s">
        <v>17</v>
      </c>
      <c r="D64" s="17">
        <f>(3+1.835+1.835+0.147+0.147)*(15+2+2)</f>
        <v>132.316</v>
      </c>
      <c r="E64" s="18"/>
      <c r="F64" s="19">
        <f>Table14542[[#This Row],[Unit cost (USD)]]*Table14542[[#This Row],[Quantity]]</f>
        <v>0</v>
      </c>
    </row>
    <row r="65" spans="1:6" ht="82.9">
      <c r="A65" s="14" t="s">
        <v>79</v>
      </c>
      <c r="B65" s="15" t="s">
        <v>19</v>
      </c>
      <c r="C65" s="16" t="s">
        <v>20</v>
      </c>
      <c r="D65" s="17">
        <f>D64*0.5</f>
        <v>66.158000000000001</v>
      </c>
      <c r="E65" s="18"/>
      <c r="F65" s="112">
        <f>Table14542[[#This Row],[Unit cost (USD)]]*Table14542[[#This Row],[Quantity]]</f>
        <v>0</v>
      </c>
    </row>
    <row r="66" spans="1:6" ht="41.45">
      <c r="A66" s="14" t="s">
        <v>80</v>
      </c>
      <c r="B66" s="15" t="s">
        <v>22</v>
      </c>
      <c r="C66" s="16" t="s">
        <v>20</v>
      </c>
      <c r="D66" s="17">
        <f>D64*0.35</f>
        <v>46.310600000000001</v>
      </c>
      <c r="E66" s="18"/>
      <c r="F66" s="19">
        <f>Table14542[[#This Row],[Unit cost (USD)]]*Table14542[[#This Row],[Quantity]]</f>
        <v>0</v>
      </c>
    </row>
    <row r="67" spans="1:6">
      <c r="A67" s="35">
        <v>4.2</v>
      </c>
      <c r="B67" s="36" t="s">
        <v>23</v>
      </c>
      <c r="C67" s="37"/>
      <c r="D67" s="38"/>
      <c r="E67" s="39"/>
      <c r="F67" s="40">
        <f>SUM(F68:F71)</f>
        <v>0</v>
      </c>
    </row>
    <row r="68" spans="1:6" ht="41.45">
      <c r="A68" s="14" t="s">
        <v>81</v>
      </c>
      <c r="B68" s="15" t="s">
        <v>51</v>
      </c>
      <c r="C68" s="16" t="s">
        <v>20</v>
      </c>
      <c r="D68" s="17">
        <f>0.3*((3+0.2+0.2)*(15))</f>
        <v>15.3</v>
      </c>
      <c r="E68" s="18"/>
      <c r="F68" s="19">
        <f>Table14542[[#This Row],[Unit cost (USD)]]*Table14542[[#This Row],[Quantity]]</f>
        <v>0</v>
      </c>
    </row>
    <row r="69" spans="1:6" ht="41.45">
      <c r="A69" s="14" t="s">
        <v>82</v>
      </c>
      <c r="B69" s="43" t="s">
        <v>53</v>
      </c>
      <c r="C69" s="16" t="s">
        <v>20</v>
      </c>
      <c r="D69" s="17">
        <f>2*(0.3*((1.835*2)+(3*2)))</f>
        <v>5.8019999999999996</v>
      </c>
      <c r="E69" s="18"/>
      <c r="F69" s="19">
        <f>Table14542[[#This Row],[Unit cost (USD)]]*Table14542[[#This Row],[Quantity]]</f>
        <v>0</v>
      </c>
    </row>
    <row r="70" spans="1:6" ht="55.15">
      <c r="A70" s="14" t="s">
        <v>83</v>
      </c>
      <c r="B70" s="42" t="s">
        <v>69</v>
      </c>
      <c r="C70" s="16" t="s">
        <v>20</v>
      </c>
      <c r="D70" s="17">
        <f>16*3.06</f>
        <v>48.96</v>
      </c>
      <c r="E70" s="18"/>
      <c r="F70" s="19">
        <f>Table14542[[#This Row],[Unit cost (USD)]]*Table14542[[#This Row],[Quantity]]</f>
        <v>0</v>
      </c>
    </row>
    <row r="71" spans="1:6" ht="55.15">
      <c r="A71" s="14" t="s">
        <v>84</v>
      </c>
      <c r="B71" s="42" t="s">
        <v>31</v>
      </c>
      <c r="C71" s="16" t="s">
        <v>20</v>
      </c>
      <c r="D71" s="17">
        <f>(6*0.45)+4.89</f>
        <v>7.59</v>
      </c>
      <c r="E71" s="18"/>
      <c r="F71" s="19">
        <f>Table14542[[#This Row],[Unit cost (USD)]]*Table14542[[#This Row],[Quantity]]</f>
        <v>0</v>
      </c>
    </row>
    <row r="72" spans="1:6">
      <c r="A72" s="35">
        <v>4.3</v>
      </c>
      <c r="B72" s="36" t="s">
        <v>32</v>
      </c>
      <c r="C72" s="37"/>
      <c r="D72" s="38"/>
      <c r="E72" s="39"/>
      <c r="F72" s="40">
        <f>SUM(F73:F78)</f>
        <v>0</v>
      </c>
    </row>
    <row r="73" spans="1:6" ht="27.6">
      <c r="A73" s="14" t="s">
        <v>85</v>
      </c>
      <c r="B73" s="43" t="s">
        <v>34</v>
      </c>
      <c r="C73" s="16" t="s">
        <v>35</v>
      </c>
      <c r="D73" s="17">
        <f>228*2</f>
        <v>456</v>
      </c>
      <c r="E73" s="20"/>
      <c r="F73" s="19">
        <f>Table14542[[#This Row],[Unit cost (USD)]]*Table14542[[#This Row],[Quantity]]</f>
        <v>0</v>
      </c>
    </row>
    <row r="74" spans="1:6" ht="27.6">
      <c r="A74" s="14" t="s">
        <v>86</v>
      </c>
      <c r="B74" s="15" t="s">
        <v>37</v>
      </c>
      <c r="C74" s="16" t="s">
        <v>35</v>
      </c>
      <c r="D74" s="17">
        <f>54*2</f>
        <v>108</v>
      </c>
      <c r="E74" s="20"/>
      <c r="F74" s="19">
        <f>Table14542[[#This Row],[Unit cost (USD)]]*Table14542[[#This Row],[Quantity]]</f>
        <v>0</v>
      </c>
    </row>
    <row r="75" spans="1:6" ht="27.6">
      <c r="A75" s="14" t="s">
        <v>87</v>
      </c>
      <c r="B75" s="15" t="s">
        <v>39</v>
      </c>
      <c r="C75" s="16" t="s">
        <v>35</v>
      </c>
      <c r="D75" s="17">
        <f>25*2</f>
        <v>50</v>
      </c>
      <c r="E75" s="20"/>
      <c r="F75" s="19">
        <f>Table14542[[#This Row],[Unit cost (USD)]]*Table14542[[#This Row],[Quantity]]</f>
        <v>0</v>
      </c>
    </row>
    <row r="76" spans="1:6" ht="27.6">
      <c r="A76" s="14" t="s">
        <v>88</v>
      </c>
      <c r="B76" s="43" t="s">
        <v>41</v>
      </c>
      <c r="C76" s="16" t="s">
        <v>35</v>
      </c>
      <c r="D76" s="17">
        <f>6*2</f>
        <v>12</v>
      </c>
      <c r="E76" s="20"/>
      <c r="F76" s="19">
        <f>Table14542[[#This Row],[Unit cost (USD)]]*Table14542[[#This Row],[Quantity]]</f>
        <v>0</v>
      </c>
    </row>
    <row r="77" spans="1:6" ht="27.6">
      <c r="A77" s="14" t="s">
        <v>89</v>
      </c>
      <c r="B77" s="42" t="s">
        <v>43</v>
      </c>
      <c r="C77" s="16" t="s">
        <v>35</v>
      </c>
      <c r="D77" s="17">
        <f>21*2</f>
        <v>42</v>
      </c>
      <c r="E77" s="20"/>
      <c r="F77" s="19">
        <f>Table14542[[#This Row],[Unit cost (USD)]]*Table14542[[#This Row],[Quantity]]</f>
        <v>0</v>
      </c>
    </row>
    <row r="78" spans="1:6" ht="27.6">
      <c r="A78" s="14" t="s">
        <v>90</v>
      </c>
      <c r="B78" s="43" t="s">
        <v>45</v>
      </c>
      <c r="C78" s="16" t="s">
        <v>35</v>
      </c>
      <c r="D78" s="17">
        <f>19*2</f>
        <v>38</v>
      </c>
      <c r="E78" s="20"/>
      <c r="F78" s="19">
        <f>Table14542[[#This Row],[Unit cost (USD)]]*Table14542[[#This Row],[Quantity]]</f>
        <v>0</v>
      </c>
    </row>
    <row r="79" spans="1:6">
      <c r="A79" s="8">
        <v>5</v>
      </c>
      <c r="B79" s="9" t="s">
        <v>91</v>
      </c>
      <c r="C79" s="10"/>
      <c r="D79" s="11"/>
      <c r="E79" s="12"/>
      <c r="F79" s="13">
        <f>SUM(F80,F84,F89)</f>
        <v>0</v>
      </c>
    </row>
    <row r="80" spans="1:6">
      <c r="A80" s="35">
        <v>5.0999999999999996</v>
      </c>
      <c r="B80" s="36" t="s">
        <v>14</v>
      </c>
      <c r="C80" s="37"/>
      <c r="D80" s="38"/>
      <c r="E80" s="39"/>
      <c r="F80" s="40">
        <f>SUM(F81:F83)</f>
        <v>0</v>
      </c>
    </row>
    <row r="81" spans="1:6" ht="55.15">
      <c r="A81" s="14" t="s">
        <v>92</v>
      </c>
      <c r="B81" s="15" t="s">
        <v>16</v>
      </c>
      <c r="C81" s="16" t="s">
        <v>17</v>
      </c>
      <c r="D81" s="17">
        <f>(3+1.835+1.835+0.147+0.147)*(15+2+2)</f>
        <v>132.316</v>
      </c>
      <c r="E81" s="18"/>
      <c r="F81" s="19">
        <f>Table14542[[#This Row],[Unit cost (USD)]]*Table14542[[#This Row],[Quantity]]</f>
        <v>0</v>
      </c>
    </row>
    <row r="82" spans="1:6" ht="82.9">
      <c r="A82" s="14" t="s">
        <v>93</v>
      </c>
      <c r="B82" s="15" t="s">
        <v>19</v>
      </c>
      <c r="C82" s="16" t="s">
        <v>20</v>
      </c>
      <c r="D82" s="17">
        <f>D81*0.5</f>
        <v>66.158000000000001</v>
      </c>
      <c r="E82" s="18"/>
      <c r="F82" s="112">
        <f>Table14542[[#This Row],[Unit cost (USD)]]*Table14542[[#This Row],[Quantity]]</f>
        <v>0</v>
      </c>
    </row>
    <row r="83" spans="1:6" ht="41.45">
      <c r="A83" s="14" t="s">
        <v>94</v>
      </c>
      <c r="B83" s="15" t="s">
        <v>22</v>
      </c>
      <c r="C83" s="16" t="s">
        <v>20</v>
      </c>
      <c r="D83" s="17">
        <f>D81*0.35</f>
        <v>46.310600000000001</v>
      </c>
      <c r="E83" s="18"/>
      <c r="F83" s="19">
        <f>Table14542[[#This Row],[Unit cost (USD)]]*Table14542[[#This Row],[Quantity]]</f>
        <v>0</v>
      </c>
    </row>
    <row r="84" spans="1:6">
      <c r="A84" s="35">
        <v>5.2</v>
      </c>
      <c r="B84" s="36" t="s">
        <v>23</v>
      </c>
      <c r="C84" s="37"/>
      <c r="D84" s="38"/>
      <c r="E84" s="39"/>
      <c r="F84" s="40">
        <f>SUM(F85:F88)</f>
        <v>0</v>
      </c>
    </row>
    <row r="85" spans="1:6" ht="41.45">
      <c r="A85" s="14" t="s">
        <v>95</v>
      </c>
      <c r="B85" s="15" t="s">
        <v>51</v>
      </c>
      <c r="C85" s="16" t="s">
        <v>20</v>
      </c>
      <c r="D85" s="17">
        <f>0.3*((3+0.2+0.2)*(15))</f>
        <v>15.3</v>
      </c>
      <c r="E85" s="18"/>
      <c r="F85" s="19">
        <f>Table14542[[#This Row],[Unit cost (USD)]]*Table14542[[#This Row],[Quantity]]</f>
        <v>0</v>
      </c>
    </row>
    <row r="86" spans="1:6" ht="41.45">
      <c r="A86" s="14" t="s">
        <v>96</v>
      </c>
      <c r="B86" s="43" t="s">
        <v>53</v>
      </c>
      <c r="C86" s="16" t="s">
        <v>20</v>
      </c>
      <c r="D86" s="17">
        <f>2*(0.3*((1.835*2)+(3*2)))</f>
        <v>5.8019999999999996</v>
      </c>
      <c r="E86" s="18"/>
      <c r="F86" s="19">
        <f>Table14542[[#This Row],[Unit cost (USD)]]*Table14542[[#This Row],[Quantity]]</f>
        <v>0</v>
      </c>
    </row>
    <row r="87" spans="1:6" ht="55.15">
      <c r="A87" s="14" t="s">
        <v>97</v>
      </c>
      <c r="B87" s="42" t="s">
        <v>69</v>
      </c>
      <c r="C87" s="16" t="s">
        <v>20</v>
      </c>
      <c r="D87" s="17">
        <f>16*3.06</f>
        <v>48.96</v>
      </c>
      <c r="E87" s="18"/>
      <c r="F87" s="19">
        <f>Table14542[[#This Row],[Unit cost (USD)]]*Table14542[[#This Row],[Quantity]]</f>
        <v>0</v>
      </c>
    </row>
    <row r="88" spans="1:6" ht="55.15">
      <c r="A88" s="14" t="s">
        <v>98</v>
      </c>
      <c r="B88" s="42" t="s">
        <v>31</v>
      </c>
      <c r="C88" s="16" t="s">
        <v>20</v>
      </c>
      <c r="D88" s="17">
        <f>(6*0.45)+4.89</f>
        <v>7.59</v>
      </c>
      <c r="E88" s="18"/>
      <c r="F88" s="19">
        <f>Table14542[[#This Row],[Unit cost (USD)]]*Table14542[[#This Row],[Quantity]]</f>
        <v>0</v>
      </c>
    </row>
    <row r="89" spans="1:6">
      <c r="A89" s="35">
        <v>5.3</v>
      </c>
      <c r="B89" s="36" t="s">
        <v>32</v>
      </c>
      <c r="C89" s="37"/>
      <c r="D89" s="38"/>
      <c r="E89" s="39"/>
      <c r="F89" s="40">
        <f>SUM(F90:F95)</f>
        <v>0</v>
      </c>
    </row>
    <row r="90" spans="1:6" ht="27.6">
      <c r="A90" s="14" t="s">
        <v>99</v>
      </c>
      <c r="B90" s="43" t="s">
        <v>34</v>
      </c>
      <c r="C90" s="16" t="s">
        <v>35</v>
      </c>
      <c r="D90" s="17">
        <f>228*2</f>
        <v>456</v>
      </c>
      <c r="E90" s="20"/>
      <c r="F90" s="19">
        <f>Table14542[[#This Row],[Unit cost (USD)]]*Table14542[[#This Row],[Quantity]]</f>
        <v>0</v>
      </c>
    </row>
    <row r="91" spans="1:6" ht="27.6">
      <c r="A91" s="14" t="s">
        <v>100</v>
      </c>
      <c r="B91" s="15" t="s">
        <v>37</v>
      </c>
      <c r="C91" s="16" t="s">
        <v>35</v>
      </c>
      <c r="D91" s="17">
        <f>54*2</f>
        <v>108</v>
      </c>
      <c r="E91" s="20"/>
      <c r="F91" s="19">
        <f>Table14542[[#This Row],[Unit cost (USD)]]*Table14542[[#This Row],[Quantity]]</f>
        <v>0</v>
      </c>
    </row>
    <row r="92" spans="1:6" ht="27.6">
      <c r="A92" s="14" t="s">
        <v>101</v>
      </c>
      <c r="B92" s="15" t="s">
        <v>39</v>
      </c>
      <c r="C92" s="16" t="s">
        <v>35</v>
      </c>
      <c r="D92" s="17">
        <f>25*2</f>
        <v>50</v>
      </c>
      <c r="E92" s="20"/>
      <c r="F92" s="19">
        <f>Table14542[[#This Row],[Unit cost (USD)]]*Table14542[[#This Row],[Quantity]]</f>
        <v>0</v>
      </c>
    </row>
    <row r="93" spans="1:6" ht="27.6">
      <c r="A93" s="14" t="s">
        <v>102</v>
      </c>
      <c r="B93" s="43" t="s">
        <v>41</v>
      </c>
      <c r="C93" s="16" t="s">
        <v>35</v>
      </c>
      <c r="D93" s="17">
        <f>6*2</f>
        <v>12</v>
      </c>
      <c r="E93" s="20"/>
      <c r="F93" s="19">
        <f>Table14542[[#This Row],[Unit cost (USD)]]*Table14542[[#This Row],[Quantity]]</f>
        <v>0</v>
      </c>
    </row>
    <row r="94" spans="1:6" ht="27.6">
      <c r="A94" s="14" t="s">
        <v>103</v>
      </c>
      <c r="B94" s="42" t="s">
        <v>43</v>
      </c>
      <c r="C94" s="16" t="s">
        <v>35</v>
      </c>
      <c r="D94" s="17">
        <f>21*2</f>
        <v>42</v>
      </c>
      <c r="E94" s="20"/>
      <c r="F94" s="19">
        <f>Table14542[[#This Row],[Unit cost (USD)]]*Table14542[[#This Row],[Quantity]]</f>
        <v>0</v>
      </c>
    </row>
    <row r="95" spans="1:6" ht="27.6">
      <c r="A95" s="14" t="s">
        <v>104</v>
      </c>
      <c r="B95" s="43" t="s">
        <v>45</v>
      </c>
      <c r="C95" s="16" t="s">
        <v>35</v>
      </c>
      <c r="D95" s="17">
        <f>19*2</f>
        <v>38</v>
      </c>
      <c r="E95" s="20"/>
      <c r="F95" s="19">
        <f>Table14542[[#This Row],[Unit cost (USD)]]*Table14542[[#This Row],[Quantity]]</f>
        <v>0</v>
      </c>
    </row>
    <row r="96" spans="1:6">
      <c r="A96" s="8">
        <v>6</v>
      </c>
      <c r="B96" s="9" t="s">
        <v>105</v>
      </c>
      <c r="C96" s="10"/>
      <c r="D96" s="11"/>
      <c r="E96" s="12"/>
      <c r="F96" s="13">
        <f>SUM(F97,F101,F106)</f>
        <v>0</v>
      </c>
    </row>
    <row r="97" spans="1:6">
      <c r="A97" s="35">
        <v>6.1</v>
      </c>
      <c r="B97" s="36" t="s">
        <v>14</v>
      </c>
      <c r="C97" s="37"/>
      <c r="D97" s="38"/>
      <c r="E97" s="39"/>
      <c r="F97" s="40">
        <f>SUM(F98:F100)</f>
        <v>0</v>
      </c>
    </row>
    <row r="98" spans="1:6" ht="55.15">
      <c r="A98" s="14" t="s">
        <v>106</v>
      </c>
      <c r="B98" s="15" t="s">
        <v>16</v>
      </c>
      <c r="C98" s="16" t="s">
        <v>17</v>
      </c>
      <c r="D98" s="17">
        <f>(3+1.835+1.835+0.147+0.147)*(15+2+2)</f>
        <v>132.316</v>
      </c>
      <c r="E98" s="18"/>
      <c r="F98" s="19">
        <f>Table14542[[#This Row],[Unit cost (USD)]]*Table14542[[#This Row],[Quantity]]</f>
        <v>0</v>
      </c>
    </row>
    <row r="99" spans="1:6" ht="82.9">
      <c r="A99" s="14" t="s">
        <v>107</v>
      </c>
      <c r="B99" s="15" t="s">
        <v>19</v>
      </c>
      <c r="C99" s="16" t="s">
        <v>20</v>
      </c>
      <c r="D99" s="17">
        <f>D98*0.5</f>
        <v>66.158000000000001</v>
      </c>
      <c r="E99" s="18"/>
      <c r="F99" s="112">
        <f>Table14542[[#This Row],[Unit cost (USD)]]*Table14542[[#This Row],[Quantity]]</f>
        <v>0</v>
      </c>
    </row>
    <row r="100" spans="1:6" ht="41.45">
      <c r="A100" s="14" t="s">
        <v>108</v>
      </c>
      <c r="B100" s="15" t="s">
        <v>22</v>
      </c>
      <c r="C100" s="16" t="s">
        <v>20</v>
      </c>
      <c r="D100" s="17">
        <f>D98*0.35</f>
        <v>46.310600000000001</v>
      </c>
      <c r="E100" s="18"/>
      <c r="F100" s="19">
        <f>Table14542[[#This Row],[Unit cost (USD)]]*Table14542[[#This Row],[Quantity]]</f>
        <v>0</v>
      </c>
    </row>
    <row r="101" spans="1:6">
      <c r="A101" s="35">
        <v>6.2</v>
      </c>
      <c r="B101" s="36" t="s">
        <v>23</v>
      </c>
      <c r="C101" s="37"/>
      <c r="D101" s="38"/>
      <c r="E101" s="39"/>
      <c r="F101" s="40">
        <f>SUM(F102:F105)</f>
        <v>0</v>
      </c>
    </row>
    <row r="102" spans="1:6" ht="41.45">
      <c r="A102" s="14" t="s">
        <v>109</v>
      </c>
      <c r="B102" s="15" t="s">
        <v>51</v>
      </c>
      <c r="C102" s="16" t="s">
        <v>20</v>
      </c>
      <c r="D102" s="17">
        <f>0.3*((3+0.2+0.2)*(15))</f>
        <v>15.3</v>
      </c>
      <c r="E102" s="18"/>
      <c r="F102" s="19">
        <f>Table14542[[#This Row],[Unit cost (USD)]]*Table14542[[#This Row],[Quantity]]</f>
        <v>0</v>
      </c>
    </row>
    <row r="103" spans="1:6" ht="41.45">
      <c r="A103" s="14" t="s">
        <v>110</v>
      </c>
      <c r="B103" s="43" t="s">
        <v>53</v>
      </c>
      <c r="C103" s="16" t="s">
        <v>20</v>
      </c>
      <c r="D103" s="17">
        <f>2*(0.3*((1.835*2)+(3*2)))</f>
        <v>5.8019999999999996</v>
      </c>
      <c r="E103" s="18"/>
      <c r="F103" s="19">
        <f>Table14542[[#This Row],[Unit cost (USD)]]*Table14542[[#This Row],[Quantity]]</f>
        <v>0</v>
      </c>
    </row>
    <row r="104" spans="1:6" ht="55.15">
      <c r="A104" s="14" t="s">
        <v>111</v>
      </c>
      <c r="B104" s="42" t="s">
        <v>69</v>
      </c>
      <c r="C104" s="16" t="s">
        <v>20</v>
      </c>
      <c r="D104" s="17">
        <f>16*3.06</f>
        <v>48.96</v>
      </c>
      <c r="E104" s="18"/>
      <c r="F104" s="19">
        <f>Table14542[[#This Row],[Unit cost (USD)]]*Table14542[[#This Row],[Quantity]]</f>
        <v>0</v>
      </c>
    </row>
    <row r="105" spans="1:6" ht="55.15">
      <c r="A105" s="14" t="s">
        <v>112</v>
      </c>
      <c r="B105" s="42" t="s">
        <v>31</v>
      </c>
      <c r="C105" s="16" t="s">
        <v>20</v>
      </c>
      <c r="D105" s="17">
        <f>(6*0.45)+4.89</f>
        <v>7.59</v>
      </c>
      <c r="E105" s="18"/>
      <c r="F105" s="19">
        <f>Table14542[[#This Row],[Unit cost (USD)]]*Table14542[[#This Row],[Quantity]]</f>
        <v>0</v>
      </c>
    </row>
    <row r="106" spans="1:6">
      <c r="A106" s="35">
        <v>6.3</v>
      </c>
      <c r="B106" s="36" t="s">
        <v>32</v>
      </c>
      <c r="C106" s="37"/>
      <c r="D106" s="38"/>
      <c r="E106" s="39"/>
      <c r="F106" s="40">
        <f>SUM(F107:F112)</f>
        <v>0</v>
      </c>
    </row>
    <row r="107" spans="1:6" ht="27.6">
      <c r="A107" s="14" t="s">
        <v>113</v>
      </c>
      <c r="B107" s="43" t="s">
        <v>34</v>
      </c>
      <c r="C107" s="16" t="s">
        <v>35</v>
      </c>
      <c r="D107" s="17">
        <f>228*2</f>
        <v>456</v>
      </c>
      <c r="E107" s="20"/>
      <c r="F107" s="19">
        <f>Table14542[[#This Row],[Unit cost (USD)]]*Table14542[[#This Row],[Quantity]]</f>
        <v>0</v>
      </c>
    </row>
    <row r="108" spans="1:6" ht="27.6">
      <c r="A108" s="14" t="s">
        <v>114</v>
      </c>
      <c r="B108" s="15" t="s">
        <v>37</v>
      </c>
      <c r="C108" s="16" t="s">
        <v>35</v>
      </c>
      <c r="D108" s="17">
        <f>54*2</f>
        <v>108</v>
      </c>
      <c r="E108" s="20"/>
      <c r="F108" s="19">
        <f>Table14542[[#This Row],[Unit cost (USD)]]*Table14542[[#This Row],[Quantity]]</f>
        <v>0</v>
      </c>
    </row>
    <row r="109" spans="1:6" ht="27.6">
      <c r="A109" s="14" t="s">
        <v>115</v>
      </c>
      <c r="B109" s="15" t="s">
        <v>39</v>
      </c>
      <c r="C109" s="16" t="s">
        <v>35</v>
      </c>
      <c r="D109" s="17">
        <f>25*2</f>
        <v>50</v>
      </c>
      <c r="E109" s="20"/>
      <c r="F109" s="19">
        <f>Table14542[[#This Row],[Unit cost (USD)]]*Table14542[[#This Row],[Quantity]]</f>
        <v>0</v>
      </c>
    </row>
    <row r="110" spans="1:6" ht="27.6">
      <c r="A110" s="14" t="s">
        <v>116</v>
      </c>
      <c r="B110" s="43" t="s">
        <v>41</v>
      </c>
      <c r="C110" s="16" t="s">
        <v>35</v>
      </c>
      <c r="D110" s="17">
        <f>6*2</f>
        <v>12</v>
      </c>
      <c r="E110" s="20"/>
      <c r="F110" s="19">
        <f>Table14542[[#This Row],[Unit cost (USD)]]*Table14542[[#This Row],[Quantity]]</f>
        <v>0</v>
      </c>
    </row>
    <row r="111" spans="1:6" ht="27.6">
      <c r="A111" s="14" t="s">
        <v>117</v>
      </c>
      <c r="B111" s="42" t="s">
        <v>43</v>
      </c>
      <c r="C111" s="16" t="s">
        <v>35</v>
      </c>
      <c r="D111" s="17">
        <f>21*2</f>
        <v>42</v>
      </c>
      <c r="E111" s="20"/>
      <c r="F111" s="19">
        <f>Table14542[[#This Row],[Unit cost (USD)]]*Table14542[[#This Row],[Quantity]]</f>
        <v>0</v>
      </c>
    </row>
    <row r="112" spans="1:6" ht="27.6">
      <c r="A112" s="14" t="s">
        <v>118</v>
      </c>
      <c r="B112" s="43" t="s">
        <v>45</v>
      </c>
      <c r="C112" s="16" t="s">
        <v>35</v>
      </c>
      <c r="D112" s="17">
        <f>19*2</f>
        <v>38</v>
      </c>
      <c r="E112" s="20"/>
      <c r="F112" s="19">
        <f>Table14542[[#This Row],[Unit cost (USD)]]*Table14542[[#This Row],[Quantity]]</f>
        <v>0</v>
      </c>
    </row>
    <row r="113" spans="1:6">
      <c r="A113" s="8">
        <v>7</v>
      </c>
      <c r="B113" s="9" t="s">
        <v>119</v>
      </c>
      <c r="C113" s="10"/>
      <c r="D113" s="11"/>
      <c r="E113" s="12"/>
      <c r="F113" s="13">
        <f>SUM(F114,F118,F123)</f>
        <v>0</v>
      </c>
    </row>
    <row r="114" spans="1:6">
      <c r="A114" s="35">
        <v>7.1</v>
      </c>
      <c r="B114" s="36" t="s">
        <v>14</v>
      </c>
      <c r="C114" s="37"/>
      <c r="D114" s="38"/>
      <c r="E114" s="39"/>
      <c r="F114" s="40">
        <f>SUM(F115:F117)</f>
        <v>0</v>
      </c>
    </row>
    <row r="115" spans="1:6" ht="55.15">
      <c r="A115" s="14" t="s">
        <v>120</v>
      </c>
      <c r="B115" s="15" t="s">
        <v>16</v>
      </c>
      <c r="C115" s="16" t="s">
        <v>17</v>
      </c>
      <c r="D115" s="17">
        <f>(3+1.835+1.835+0.147+0.147)*(15+2+2)</f>
        <v>132.316</v>
      </c>
      <c r="E115" s="18"/>
      <c r="F115" s="19">
        <f>Table14542[[#This Row],[Unit cost (USD)]]*Table14542[[#This Row],[Quantity]]</f>
        <v>0</v>
      </c>
    </row>
    <row r="116" spans="1:6" ht="82.9">
      <c r="A116" s="14" t="s">
        <v>121</v>
      </c>
      <c r="B116" s="15" t="s">
        <v>19</v>
      </c>
      <c r="C116" s="16" t="s">
        <v>20</v>
      </c>
      <c r="D116" s="17">
        <f>D115*0.5</f>
        <v>66.158000000000001</v>
      </c>
      <c r="E116" s="18"/>
      <c r="F116" s="112">
        <f>Table14542[[#This Row],[Unit cost (USD)]]*Table14542[[#This Row],[Quantity]]</f>
        <v>0</v>
      </c>
    </row>
    <row r="117" spans="1:6" ht="41.45">
      <c r="A117" s="14" t="s">
        <v>122</v>
      </c>
      <c r="B117" s="15" t="s">
        <v>22</v>
      </c>
      <c r="C117" s="16" t="s">
        <v>20</v>
      </c>
      <c r="D117" s="17">
        <f>D115*0.35</f>
        <v>46.310600000000001</v>
      </c>
      <c r="E117" s="18"/>
      <c r="F117" s="19">
        <f>Table14542[[#This Row],[Unit cost (USD)]]*Table14542[[#This Row],[Quantity]]</f>
        <v>0</v>
      </c>
    </row>
    <row r="118" spans="1:6">
      <c r="A118" s="35">
        <v>7.2</v>
      </c>
      <c r="B118" s="36" t="s">
        <v>23</v>
      </c>
      <c r="C118" s="37"/>
      <c r="D118" s="38"/>
      <c r="E118" s="39"/>
      <c r="F118" s="40">
        <f>SUM(F119:F122)</f>
        <v>0</v>
      </c>
    </row>
    <row r="119" spans="1:6" ht="41.45">
      <c r="A119" s="14" t="s">
        <v>123</v>
      </c>
      <c r="B119" s="15" t="s">
        <v>51</v>
      </c>
      <c r="C119" s="16" t="s">
        <v>20</v>
      </c>
      <c r="D119" s="17">
        <f>0.3*((3+0.2+0.2)*(15))</f>
        <v>15.3</v>
      </c>
      <c r="E119" s="18"/>
      <c r="F119" s="19">
        <f>Table14542[[#This Row],[Unit cost (USD)]]*Table14542[[#This Row],[Quantity]]</f>
        <v>0</v>
      </c>
    </row>
    <row r="120" spans="1:6" ht="41.45">
      <c r="A120" s="14" t="s">
        <v>124</v>
      </c>
      <c r="B120" s="43" t="s">
        <v>53</v>
      </c>
      <c r="C120" s="16" t="s">
        <v>20</v>
      </c>
      <c r="D120" s="17">
        <f>2*(0.3*((1.835*2)+(3*2)))</f>
        <v>5.8019999999999996</v>
      </c>
      <c r="E120" s="18"/>
      <c r="F120" s="19">
        <f>Table14542[[#This Row],[Unit cost (USD)]]*Table14542[[#This Row],[Quantity]]</f>
        <v>0</v>
      </c>
    </row>
    <row r="121" spans="1:6" ht="55.15">
      <c r="A121" s="14" t="s">
        <v>125</v>
      </c>
      <c r="B121" s="42" t="s">
        <v>69</v>
      </c>
      <c r="C121" s="16" t="s">
        <v>20</v>
      </c>
      <c r="D121" s="17">
        <f>16*3.06</f>
        <v>48.96</v>
      </c>
      <c r="E121" s="18"/>
      <c r="F121" s="19">
        <f>Table14542[[#This Row],[Unit cost (USD)]]*Table14542[[#This Row],[Quantity]]</f>
        <v>0</v>
      </c>
    </row>
    <row r="122" spans="1:6" ht="55.15">
      <c r="A122" s="14" t="s">
        <v>126</v>
      </c>
      <c r="B122" s="42" t="s">
        <v>31</v>
      </c>
      <c r="C122" s="16" t="s">
        <v>20</v>
      </c>
      <c r="D122" s="17">
        <f>(6*0.45)+4.89</f>
        <v>7.59</v>
      </c>
      <c r="E122" s="18"/>
      <c r="F122" s="19">
        <f>Table14542[[#This Row],[Unit cost (USD)]]*Table14542[[#This Row],[Quantity]]</f>
        <v>0</v>
      </c>
    </row>
    <row r="123" spans="1:6">
      <c r="A123" s="35">
        <v>7.3</v>
      </c>
      <c r="B123" s="36" t="s">
        <v>32</v>
      </c>
      <c r="C123" s="37"/>
      <c r="D123" s="38"/>
      <c r="E123" s="39"/>
      <c r="F123" s="40">
        <f>SUM(F124:F129)</f>
        <v>0</v>
      </c>
    </row>
    <row r="124" spans="1:6" ht="27.6">
      <c r="A124" s="14" t="s">
        <v>127</v>
      </c>
      <c r="B124" s="43" t="s">
        <v>34</v>
      </c>
      <c r="C124" s="16" t="s">
        <v>35</v>
      </c>
      <c r="D124" s="17">
        <f>228*2</f>
        <v>456</v>
      </c>
      <c r="E124" s="20"/>
      <c r="F124" s="19">
        <f>Table14542[[#This Row],[Unit cost (USD)]]*Table14542[[#This Row],[Quantity]]</f>
        <v>0</v>
      </c>
    </row>
    <row r="125" spans="1:6" ht="27.6">
      <c r="A125" s="14" t="s">
        <v>128</v>
      </c>
      <c r="B125" s="15" t="s">
        <v>37</v>
      </c>
      <c r="C125" s="16" t="s">
        <v>35</v>
      </c>
      <c r="D125" s="17">
        <f>54*2</f>
        <v>108</v>
      </c>
      <c r="E125" s="20"/>
      <c r="F125" s="19">
        <f>Table14542[[#This Row],[Unit cost (USD)]]*Table14542[[#This Row],[Quantity]]</f>
        <v>0</v>
      </c>
    </row>
    <row r="126" spans="1:6" ht="27.6">
      <c r="A126" s="14" t="s">
        <v>129</v>
      </c>
      <c r="B126" s="15" t="s">
        <v>39</v>
      </c>
      <c r="C126" s="16" t="s">
        <v>35</v>
      </c>
      <c r="D126" s="17">
        <f>25*2</f>
        <v>50</v>
      </c>
      <c r="E126" s="20"/>
      <c r="F126" s="19">
        <f>Table14542[[#This Row],[Unit cost (USD)]]*Table14542[[#This Row],[Quantity]]</f>
        <v>0</v>
      </c>
    </row>
    <row r="127" spans="1:6" ht="27.6">
      <c r="A127" s="14" t="s">
        <v>130</v>
      </c>
      <c r="B127" s="43" t="s">
        <v>41</v>
      </c>
      <c r="C127" s="16" t="s">
        <v>35</v>
      </c>
      <c r="D127" s="17">
        <f>6*2</f>
        <v>12</v>
      </c>
      <c r="E127" s="20"/>
      <c r="F127" s="19">
        <f>Table14542[[#This Row],[Unit cost (USD)]]*Table14542[[#This Row],[Quantity]]</f>
        <v>0</v>
      </c>
    </row>
    <row r="128" spans="1:6" ht="27.6">
      <c r="A128" s="14" t="s">
        <v>131</v>
      </c>
      <c r="B128" s="42" t="s">
        <v>43</v>
      </c>
      <c r="C128" s="16" t="s">
        <v>35</v>
      </c>
      <c r="D128" s="17">
        <f>21*2</f>
        <v>42</v>
      </c>
      <c r="E128" s="20"/>
      <c r="F128" s="19">
        <f>Table14542[[#This Row],[Unit cost (USD)]]*Table14542[[#This Row],[Quantity]]</f>
        <v>0</v>
      </c>
    </row>
    <row r="129" spans="1:6" ht="27.6">
      <c r="A129" s="14" t="s">
        <v>132</v>
      </c>
      <c r="B129" s="43" t="s">
        <v>45</v>
      </c>
      <c r="C129" s="16" t="s">
        <v>35</v>
      </c>
      <c r="D129" s="17">
        <f>19*2</f>
        <v>38</v>
      </c>
      <c r="E129" s="20"/>
      <c r="F129" s="19">
        <f>Table14542[[#This Row],[Unit cost (USD)]]*Table14542[[#This Row],[Quantity]]</f>
        <v>0</v>
      </c>
    </row>
    <row r="130" spans="1:6">
      <c r="A130" s="8">
        <v>8</v>
      </c>
      <c r="B130" s="9" t="s">
        <v>133</v>
      </c>
      <c r="C130" s="10"/>
      <c r="D130" s="11"/>
      <c r="E130" s="12"/>
      <c r="F130" s="13">
        <f>SUM(F131,F135,F140)</f>
        <v>0</v>
      </c>
    </row>
    <row r="131" spans="1:6">
      <c r="A131" s="35">
        <v>8.1</v>
      </c>
      <c r="B131" s="36" t="s">
        <v>14</v>
      </c>
      <c r="C131" s="37"/>
      <c r="D131" s="38"/>
      <c r="E131" s="39"/>
      <c r="F131" s="40">
        <f>SUM(F132:F134)</f>
        <v>0</v>
      </c>
    </row>
    <row r="132" spans="1:6" ht="55.15">
      <c r="A132" s="14" t="s">
        <v>134</v>
      </c>
      <c r="B132" s="15" t="s">
        <v>16</v>
      </c>
      <c r="C132" s="16" t="s">
        <v>17</v>
      </c>
      <c r="D132" s="17">
        <f>(3+1.835+1.835+0.147+0.147)*(15+2+2)</f>
        <v>132.316</v>
      </c>
      <c r="E132" s="18"/>
      <c r="F132" s="19">
        <f>Table14542[[#This Row],[Unit cost (USD)]]*Table14542[[#This Row],[Quantity]]</f>
        <v>0</v>
      </c>
    </row>
    <row r="133" spans="1:6" ht="82.9">
      <c r="A133" s="14" t="s">
        <v>135</v>
      </c>
      <c r="B133" s="15" t="s">
        <v>19</v>
      </c>
      <c r="C133" s="16" t="s">
        <v>20</v>
      </c>
      <c r="D133" s="17">
        <f>D132*0.5</f>
        <v>66.158000000000001</v>
      </c>
      <c r="E133" s="18"/>
      <c r="F133" s="112">
        <f>Table14542[[#This Row],[Unit cost (USD)]]*Table14542[[#This Row],[Quantity]]</f>
        <v>0</v>
      </c>
    </row>
    <row r="134" spans="1:6" ht="41.45">
      <c r="A134" s="14" t="s">
        <v>136</v>
      </c>
      <c r="B134" s="15" t="s">
        <v>22</v>
      </c>
      <c r="C134" s="16" t="s">
        <v>20</v>
      </c>
      <c r="D134" s="17">
        <f>D132*0.35</f>
        <v>46.310600000000001</v>
      </c>
      <c r="E134" s="18"/>
      <c r="F134" s="19">
        <f>Table14542[[#This Row],[Unit cost (USD)]]*Table14542[[#This Row],[Quantity]]</f>
        <v>0</v>
      </c>
    </row>
    <row r="135" spans="1:6">
      <c r="A135" s="35">
        <v>8.1999999999999993</v>
      </c>
      <c r="B135" s="36" t="s">
        <v>23</v>
      </c>
      <c r="C135" s="37"/>
      <c r="D135" s="38"/>
      <c r="E135" s="39"/>
      <c r="F135" s="40">
        <f>SUM(F136:F139)</f>
        <v>0</v>
      </c>
    </row>
    <row r="136" spans="1:6" ht="41.45">
      <c r="A136" s="14" t="s">
        <v>137</v>
      </c>
      <c r="B136" s="15" t="s">
        <v>51</v>
      </c>
      <c r="C136" s="16" t="s">
        <v>20</v>
      </c>
      <c r="D136" s="17">
        <f>0.3*((3+0.2+0.2)*(15))</f>
        <v>15.3</v>
      </c>
      <c r="E136" s="18"/>
      <c r="F136" s="19">
        <f>Table14542[[#This Row],[Unit cost (USD)]]*Table14542[[#This Row],[Quantity]]</f>
        <v>0</v>
      </c>
    </row>
    <row r="137" spans="1:6" ht="41.45">
      <c r="A137" s="14" t="s">
        <v>138</v>
      </c>
      <c r="B137" s="43" t="s">
        <v>53</v>
      </c>
      <c r="C137" s="16" t="s">
        <v>20</v>
      </c>
      <c r="D137" s="17">
        <f>2*(0.3*((1.835*2)+(3*2)))</f>
        <v>5.8019999999999996</v>
      </c>
      <c r="E137" s="18"/>
      <c r="F137" s="19">
        <f>Table14542[[#This Row],[Unit cost (USD)]]*Table14542[[#This Row],[Quantity]]</f>
        <v>0</v>
      </c>
    </row>
    <row r="138" spans="1:6" ht="55.15">
      <c r="A138" s="14" t="s">
        <v>139</v>
      </c>
      <c r="B138" s="42" t="s">
        <v>69</v>
      </c>
      <c r="C138" s="16" t="s">
        <v>20</v>
      </c>
      <c r="D138" s="17">
        <f>16*3.06</f>
        <v>48.96</v>
      </c>
      <c r="E138" s="18"/>
      <c r="F138" s="19">
        <f>Table14542[[#This Row],[Unit cost (USD)]]*Table14542[[#This Row],[Quantity]]</f>
        <v>0</v>
      </c>
    </row>
    <row r="139" spans="1:6" ht="55.15">
      <c r="A139" s="14" t="s">
        <v>140</v>
      </c>
      <c r="B139" s="42" t="s">
        <v>31</v>
      </c>
      <c r="C139" s="16" t="s">
        <v>20</v>
      </c>
      <c r="D139" s="17">
        <f>(6*0.45)+4.89</f>
        <v>7.59</v>
      </c>
      <c r="E139" s="18"/>
      <c r="F139" s="19">
        <f>Table14542[[#This Row],[Unit cost (USD)]]*Table14542[[#This Row],[Quantity]]</f>
        <v>0</v>
      </c>
    </row>
    <row r="140" spans="1:6">
      <c r="A140" s="35">
        <v>8.3000000000000007</v>
      </c>
      <c r="B140" s="36" t="s">
        <v>32</v>
      </c>
      <c r="C140" s="37"/>
      <c r="D140" s="38"/>
      <c r="E140" s="39"/>
      <c r="F140" s="40">
        <f>SUM(F141:F146)</f>
        <v>0</v>
      </c>
    </row>
    <row r="141" spans="1:6" ht="27.6">
      <c r="A141" s="14" t="s">
        <v>141</v>
      </c>
      <c r="B141" s="43" t="s">
        <v>34</v>
      </c>
      <c r="C141" s="16" t="s">
        <v>35</v>
      </c>
      <c r="D141" s="17">
        <f>228*2</f>
        <v>456</v>
      </c>
      <c r="E141" s="20"/>
      <c r="F141" s="19">
        <f>Table14542[[#This Row],[Unit cost (USD)]]*Table14542[[#This Row],[Quantity]]</f>
        <v>0</v>
      </c>
    </row>
    <row r="142" spans="1:6" ht="27.6">
      <c r="A142" s="14" t="s">
        <v>142</v>
      </c>
      <c r="B142" s="15" t="s">
        <v>37</v>
      </c>
      <c r="C142" s="16" t="s">
        <v>35</v>
      </c>
      <c r="D142" s="17">
        <f>54*2</f>
        <v>108</v>
      </c>
      <c r="E142" s="20"/>
      <c r="F142" s="19">
        <f>Table14542[[#This Row],[Unit cost (USD)]]*Table14542[[#This Row],[Quantity]]</f>
        <v>0</v>
      </c>
    </row>
    <row r="143" spans="1:6" ht="27.6">
      <c r="A143" s="14" t="s">
        <v>143</v>
      </c>
      <c r="B143" s="15" t="s">
        <v>39</v>
      </c>
      <c r="C143" s="16" t="s">
        <v>35</v>
      </c>
      <c r="D143" s="17">
        <f>25*2</f>
        <v>50</v>
      </c>
      <c r="E143" s="20"/>
      <c r="F143" s="19">
        <f>Table14542[[#This Row],[Unit cost (USD)]]*Table14542[[#This Row],[Quantity]]</f>
        <v>0</v>
      </c>
    </row>
    <row r="144" spans="1:6" ht="27.6">
      <c r="A144" s="14" t="s">
        <v>144</v>
      </c>
      <c r="B144" s="43" t="s">
        <v>41</v>
      </c>
      <c r="C144" s="16" t="s">
        <v>35</v>
      </c>
      <c r="D144" s="17">
        <f>6*2</f>
        <v>12</v>
      </c>
      <c r="E144" s="20"/>
      <c r="F144" s="19">
        <f>Table14542[[#This Row],[Unit cost (USD)]]*Table14542[[#This Row],[Quantity]]</f>
        <v>0</v>
      </c>
    </row>
    <row r="145" spans="1:6" ht="27.6">
      <c r="A145" s="14" t="s">
        <v>145</v>
      </c>
      <c r="B145" s="42" t="s">
        <v>43</v>
      </c>
      <c r="C145" s="16" t="s">
        <v>35</v>
      </c>
      <c r="D145" s="17">
        <f>21*2</f>
        <v>42</v>
      </c>
      <c r="E145" s="20"/>
      <c r="F145" s="19">
        <f>Table14542[[#This Row],[Unit cost (USD)]]*Table14542[[#This Row],[Quantity]]</f>
        <v>0</v>
      </c>
    </row>
    <row r="146" spans="1:6" ht="27.6">
      <c r="A146" s="14" t="s">
        <v>146</v>
      </c>
      <c r="B146" s="43" t="s">
        <v>45</v>
      </c>
      <c r="C146" s="16" t="s">
        <v>35</v>
      </c>
      <c r="D146" s="17">
        <f>19*2</f>
        <v>38</v>
      </c>
      <c r="E146" s="20"/>
      <c r="F146" s="19">
        <f>Table14542[[#This Row],[Unit cost (USD)]]*Table14542[[#This Row],[Quantity]]</f>
        <v>0</v>
      </c>
    </row>
    <row r="147" spans="1:6">
      <c r="A147" s="8">
        <v>9</v>
      </c>
      <c r="B147" s="9" t="s">
        <v>147</v>
      </c>
      <c r="C147" s="10"/>
      <c r="D147" s="11"/>
      <c r="E147" s="12"/>
      <c r="F147" s="13">
        <f>SUM(F148,F152,F157)</f>
        <v>0</v>
      </c>
    </row>
    <row r="148" spans="1:6">
      <c r="A148" s="35">
        <v>9.1</v>
      </c>
      <c r="B148" s="36" t="s">
        <v>14</v>
      </c>
      <c r="C148" s="37"/>
      <c r="D148" s="38"/>
      <c r="E148" s="39"/>
      <c r="F148" s="40">
        <f>SUM(F149:F151)</f>
        <v>0</v>
      </c>
    </row>
    <row r="149" spans="1:6" ht="55.15">
      <c r="A149" s="14" t="s">
        <v>148</v>
      </c>
      <c r="B149" s="15" t="s">
        <v>16</v>
      </c>
      <c r="C149" s="16" t="s">
        <v>17</v>
      </c>
      <c r="D149" s="17">
        <f>(12+1.835+1.835+0.147+0.147)*(15+2+2)</f>
        <v>303.31600000000003</v>
      </c>
      <c r="E149" s="18"/>
      <c r="F149" s="19">
        <f>Table14542[[#This Row],[Unit cost (USD)]]*Table14542[[#This Row],[Quantity]]</f>
        <v>0</v>
      </c>
    </row>
    <row r="150" spans="1:6" ht="82.9">
      <c r="A150" s="14" t="s">
        <v>149</v>
      </c>
      <c r="B150" s="15" t="s">
        <v>19</v>
      </c>
      <c r="C150" s="16" t="s">
        <v>20</v>
      </c>
      <c r="D150" s="17">
        <f>D149*0.5</f>
        <v>151.65800000000002</v>
      </c>
      <c r="E150" s="18"/>
      <c r="F150" s="112">
        <f>Table14542[[#This Row],[Unit cost (USD)]]*Table14542[[#This Row],[Quantity]]</f>
        <v>0</v>
      </c>
    </row>
    <row r="151" spans="1:6" ht="41.45">
      <c r="A151" s="14" t="s">
        <v>150</v>
      </c>
      <c r="B151" s="15" t="s">
        <v>22</v>
      </c>
      <c r="C151" s="16" t="s">
        <v>20</v>
      </c>
      <c r="D151" s="17">
        <f>D149*0.35</f>
        <v>106.1606</v>
      </c>
      <c r="E151" s="18"/>
      <c r="F151" s="19">
        <f>Table14542[[#This Row],[Unit cost (USD)]]*Table14542[[#This Row],[Quantity]]</f>
        <v>0</v>
      </c>
    </row>
    <row r="152" spans="1:6">
      <c r="A152" s="35">
        <v>9.1999999999999993</v>
      </c>
      <c r="B152" s="36" t="s">
        <v>23</v>
      </c>
      <c r="C152" s="37"/>
      <c r="D152" s="38"/>
      <c r="E152" s="39"/>
      <c r="F152" s="40">
        <f>SUM(F153:F156)</f>
        <v>0</v>
      </c>
    </row>
    <row r="153" spans="1:6" ht="41.45">
      <c r="A153" s="14" t="s">
        <v>151</v>
      </c>
      <c r="B153" s="105" t="s">
        <v>152</v>
      </c>
      <c r="C153" s="16" t="s">
        <v>20</v>
      </c>
      <c r="D153" s="17">
        <f>0.3*((12+0.2+0.2)*(15))</f>
        <v>55.79999999999999</v>
      </c>
      <c r="E153" s="18"/>
      <c r="F153" s="19">
        <f>Table14542[[#This Row],[Unit cost (USD)]]*Table14542[[#This Row],[Quantity]]</f>
        <v>0</v>
      </c>
    </row>
    <row r="154" spans="1:6" ht="41.45">
      <c r="A154" s="14" t="s">
        <v>153</v>
      </c>
      <c r="B154" s="43" t="s">
        <v>154</v>
      </c>
      <c r="C154" s="16" t="s">
        <v>20</v>
      </c>
      <c r="D154" s="17">
        <f>2*(0.3*((1.835*2)+(12*2)))</f>
        <v>16.602</v>
      </c>
      <c r="E154" s="18"/>
      <c r="F154" s="19">
        <f>Table14542[[#This Row],[Unit cost (USD)]]*Table14542[[#This Row],[Quantity]]</f>
        <v>0</v>
      </c>
    </row>
    <row r="155" spans="1:6" ht="55.15">
      <c r="A155" s="14" t="s">
        <v>155</v>
      </c>
      <c r="B155" s="42" t="s">
        <v>69</v>
      </c>
      <c r="C155" s="16" t="s">
        <v>20</v>
      </c>
      <c r="D155" s="17">
        <f>48*3.06</f>
        <v>146.88</v>
      </c>
      <c r="E155" s="18"/>
      <c r="F155" s="19">
        <f>Table14542[[#This Row],[Unit cost (USD)]]*Table14542[[#This Row],[Quantity]]</f>
        <v>0</v>
      </c>
    </row>
    <row r="156" spans="1:6" ht="55.15">
      <c r="A156" s="14" t="s">
        <v>156</v>
      </c>
      <c r="B156" s="42" t="s">
        <v>31</v>
      </c>
      <c r="C156" s="16" t="s">
        <v>20</v>
      </c>
      <c r="D156" s="17">
        <f>(24*0.45)+4.89</f>
        <v>15.690000000000001</v>
      </c>
      <c r="E156" s="18"/>
      <c r="F156" s="19">
        <f>Table14542[[#This Row],[Unit cost (USD)]]*Table14542[[#This Row],[Quantity]]</f>
        <v>0</v>
      </c>
    </row>
    <row r="157" spans="1:6">
      <c r="A157" s="35">
        <v>9.3000000000000007</v>
      </c>
      <c r="B157" s="36" t="s">
        <v>32</v>
      </c>
      <c r="C157" s="37"/>
      <c r="D157" s="38"/>
      <c r="E157" s="39"/>
      <c r="F157" s="40">
        <f>SUM(F158:F163)</f>
        <v>0</v>
      </c>
    </row>
    <row r="158" spans="1:6" ht="27.6">
      <c r="A158" s="14" t="s">
        <v>157</v>
      </c>
      <c r="B158" s="43" t="s">
        <v>34</v>
      </c>
      <c r="C158" s="16" t="s">
        <v>35</v>
      </c>
      <c r="D158" s="17">
        <f>228*8</f>
        <v>1824</v>
      </c>
      <c r="E158" s="20"/>
      <c r="F158" s="19">
        <f>Table14542[[#This Row],[Unit cost (USD)]]*Table14542[[#This Row],[Quantity]]</f>
        <v>0</v>
      </c>
    </row>
    <row r="159" spans="1:6" ht="27.6">
      <c r="A159" s="14" t="s">
        <v>158</v>
      </c>
      <c r="B159" s="15" t="s">
        <v>37</v>
      </c>
      <c r="C159" s="16" t="s">
        <v>35</v>
      </c>
      <c r="D159" s="17">
        <f>54*8</f>
        <v>432</v>
      </c>
      <c r="E159" s="20"/>
      <c r="F159" s="19">
        <f>Table14542[[#This Row],[Unit cost (USD)]]*Table14542[[#This Row],[Quantity]]</f>
        <v>0</v>
      </c>
    </row>
    <row r="160" spans="1:6" ht="27.6">
      <c r="A160" s="14" t="s">
        <v>159</v>
      </c>
      <c r="B160" s="15" t="s">
        <v>39</v>
      </c>
      <c r="C160" s="16" t="s">
        <v>35</v>
      </c>
      <c r="D160" s="17">
        <f>25*8</f>
        <v>200</v>
      </c>
      <c r="E160" s="20"/>
      <c r="F160" s="19">
        <f>Table14542[[#This Row],[Unit cost (USD)]]*Table14542[[#This Row],[Quantity]]</f>
        <v>0</v>
      </c>
    </row>
    <row r="161" spans="1:6" ht="27.6">
      <c r="A161" s="14" t="s">
        <v>160</v>
      </c>
      <c r="B161" s="43" t="s">
        <v>41</v>
      </c>
      <c r="C161" s="16" t="s">
        <v>35</v>
      </c>
      <c r="D161" s="17">
        <f>6*8</f>
        <v>48</v>
      </c>
      <c r="E161" s="20"/>
      <c r="F161" s="19">
        <f>Table14542[[#This Row],[Unit cost (USD)]]*Table14542[[#This Row],[Quantity]]</f>
        <v>0</v>
      </c>
    </row>
    <row r="162" spans="1:6" ht="27.6">
      <c r="A162" s="14" t="s">
        <v>161</v>
      </c>
      <c r="B162" s="42" t="s">
        <v>43</v>
      </c>
      <c r="C162" s="16" t="s">
        <v>35</v>
      </c>
      <c r="D162" s="17">
        <f>21*8</f>
        <v>168</v>
      </c>
      <c r="E162" s="20"/>
      <c r="F162" s="19">
        <f>Table14542[[#This Row],[Unit cost (USD)]]*Table14542[[#This Row],[Quantity]]</f>
        <v>0</v>
      </c>
    </row>
    <row r="163" spans="1:6" ht="27.6">
      <c r="A163" s="14" t="s">
        <v>162</v>
      </c>
      <c r="B163" s="43" t="s">
        <v>45</v>
      </c>
      <c r="C163" s="16" t="s">
        <v>35</v>
      </c>
      <c r="D163" s="17">
        <f>19*8</f>
        <v>152</v>
      </c>
      <c r="E163" s="20"/>
      <c r="F163" s="19">
        <f>Table14542[[#This Row],[Unit cost (USD)]]*Table14542[[#This Row],[Quantity]]</f>
        <v>0</v>
      </c>
    </row>
    <row r="164" spans="1:6">
      <c r="A164" s="8">
        <v>10</v>
      </c>
      <c r="B164" s="9" t="s">
        <v>163</v>
      </c>
      <c r="C164" s="10"/>
      <c r="D164" s="11"/>
      <c r="E164" s="12"/>
      <c r="F164" s="13">
        <f>SUM(F165:F168)</f>
        <v>0</v>
      </c>
    </row>
    <row r="165" spans="1:6" ht="69">
      <c r="A165" s="14">
        <v>10.01</v>
      </c>
      <c r="B165" s="22" t="s">
        <v>164</v>
      </c>
      <c r="C165" s="16" t="s">
        <v>165</v>
      </c>
      <c r="D165" s="17">
        <v>50</v>
      </c>
      <c r="E165" s="21"/>
      <c r="F165" s="19">
        <f>Table14542[[#This Row],[Quantity]]*Table14542[[#This Row],[Unit cost (USD)]]</f>
        <v>0</v>
      </c>
    </row>
    <row r="166" spans="1:6" ht="110.45">
      <c r="A166" s="14">
        <v>10.02</v>
      </c>
      <c r="B166" s="22" t="s">
        <v>166</v>
      </c>
      <c r="C166" s="16" t="s">
        <v>167</v>
      </c>
      <c r="D166" s="17">
        <v>1</v>
      </c>
      <c r="E166" s="18"/>
      <c r="F166" s="112">
        <f>Table14542[[#This Row],[Quantity]]*Table14542[[#This Row],[Unit cost (USD)]]</f>
        <v>0</v>
      </c>
    </row>
    <row r="167" spans="1:6" ht="41.1" customHeight="1">
      <c r="A167" s="14">
        <v>10.029999999999999</v>
      </c>
      <c r="B167" s="22" t="s">
        <v>168</v>
      </c>
      <c r="C167" s="16" t="s">
        <v>169</v>
      </c>
      <c r="D167" s="17">
        <v>1</v>
      </c>
      <c r="E167" s="21"/>
      <c r="F167" s="19">
        <f>Table14542[[#This Row],[Quantity]]*Table14542[[#This Row],[Unit cost (USD)]]</f>
        <v>0</v>
      </c>
    </row>
    <row r="168" spans="1:6" ht="54.95" customHeight="1">
      <c r="A168" s="14">
        <v>10.039999999999999</v>
      </c>
      <c r="B168" s="22" t="s">
        <v>170</v>
      </c>
      <c r="C168" s="16" t="s">
        <v>171</v>
      </c>
      <c r="D168" s="17">
        <v>80</v>
      </c>
      <c r="E168" s="18"/>
      <c r="F168" s="112">
        <f>Table14542[[#This Row],[Quantity]]*Table14542[[#This Row],[Unit cost (USD)]]</f>
        <v>0</v>
      </c>
    </row>
    <row r="169" spans="1:6">
      <c r="A169" s="8">
        <v>11</v>
      </c>
      <c r="B169" s="9" t="s">
        <v>172</v>
      </c>
      <c r="C169" s="10"/>
      <c r="D169" s="11"/>
      <c r="E169" s="12"/>
      <c r="F169" s="13">
        <f>SUM(F170:F171)</f>
        <v>0</v>
      </c>
    </row>
    <row r="170" spans="1:6" ht="69">
      <c r="A170" s="14">
        <v>11.01</v>
      </c>
      <c r="B170" s="15" t="s">
        <v>173</v>
      </c>
      <c r="C170" s="16" t="s">
        <v>171</v>
      </c>
      <c r="D170" s="17">
        <v>5000</v>
      </c>
      <c r="E170" s="21"/>
      <c r="F170" s="19">
        <f>Table14542[[#This Row],[Quantity]]*Table14542[[#This Row],[Unit cost (USD)]]</f>
        <v>0</v>
      </c>
    </row>
    <row r="171" spans="1:6" ht="27.6">
      <c r="A171" s="14">
        <v>11.02</v>
      </c>
      <c r="B171" s="22" t="s">
        <v>174</v>
      </c>
      <c r="C171" s="16" t="s">
        <v>171</v>
      </c>
      <c r="D171" s="17">
        <v>10360</v>
      </c>
      <c r="E171" s="21"/>
      <c r="F171" s="19">
        <f>Table14542[[#This Row],[Quantity]]*Table14542[[#This Row],[Unit cost (USD)]]</f>
        <v>0</v>
      </c>
    </row>
    <row r="172" spans="1:6">
      <c r="A172" s="29" t="s">
        <v>175</v>
      </c>
      <c r="B172" s="30"/>
      <c r="C172" s="29"/>
      <c r="D172" s="29"/>
      <c r="E172" s="29"/>
      <c r="F172" s="31">
        <f>SUM(F169,F164,F147,F130,F113,F96,F79,F62,F45,F28,F11)</f>
        <v>0</v>
      </c>
    </row>
  </sheetData>
  <mergeCells count="2">
    <mergeCell ref="A7:F8"/>
    <mergeCell ref="A9:F9"/>
  </mergeCells>
  <phoneticPr fontId="16" type="noConversion"/>
  <pageMargins left="0.7" right="0.7" top="0.75" bottom="0.75" header="0.3" footer="0.3"/>
  <pageSetup scale="91" fitToHeight="0" orientation="landscape" r:id="rId1"/>
  <headerFooter>
    <oddFooter>&amp;C&amp;"+,Regular"&amp;10Page &amp;P of &amp;N&amp;R&amp;"+,Regular"&amp;10Approved by:
Wafaa Alshaaban
Project Officer</oddFooter>
  </headerFooter>
  <rowBreaks count="8" manualBreakCount="8">
    <brk id="15" max="5" man="1"/>
    <brk id="27" max="5" man="1"/>
    <brk id="37" max="5" man="1"/>
    <brk id="49" max="5" man="1"/>
    <brk id="61" max="5" man="1"/>
    <brk id="71" max="5" man="1"/>
    <brk id="78" max="5" man="1"/>
    <brk id="85" max="5"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9C5D-3A68-4314-8DB3-A43FDBAF1BEC}">
  <sheetPr>
    <tabColor theme="4" tint="0.39997558519241921"/>
    <pageSetUpPr fitToPage="1"/>
  </sheetPr>
  <dimension ref="A1:F23"/>
  <sheetViews>
    <sheetView zoomScaleNormal="100" zoomScaleSheetLayoutView="110" workbookViewId="0">
      <selection activeCell="D26" sqref="D26"/>
    </sheetView>
  </sheetViews>
  <sheetFormatPr defaultRowHeight="14.45"/>
  <cols>
    <col min="1" max="1" width="6.5703125" customWidth="1"/>
    <col min="2" max="2" width="14.42578125" customWidth="1"/>
    <col min="3" max="3" width="16.42578125" customWidth="1"/>
    <col min="4" max="4" width="51.5703125" customWidth="1"/>
    <col min="5" max="5" width="38.5703125" bestFit="1" customWidth="1"/>
    <col min="6" max="6" width="23.42578125" customWidth="1"/>
  </cols>
  <sheetData>
    <row r="1" spans="1:6">
      <c r="A1" s="1" t="s">
        <v>0</v>
      </c>
    </row>
    <row r="2" spans="1:6">
      <c r="A2" t="s">
        <v>1</v>
      </c>
    </row>
    <row r="3" spans="1:6">
      <c r="A3" t="s">
        <v>2</v>
      </c>
    </row>
    <row r="4" spans="1:6">
      <c r="A4" t="s">
        <v>176</v>
      </c>
    </row>
    <row r="5" spans="1:6">
      <c r="A5" t="s">
        <v>4</v>
      </c>
    </row>
    <row r="7" spans="1:6" ht="14.45" customHeight="1">
      <c r="A7" s="122" t="s">
        <v>177</v>
      </c>
      <c r="B7" s="122"/>
      <c r="C7" s="122"/>
      <c r="D7" s="122"/>
      <c r="E7" s="122"/>
      <c r="F7" s="122"/>
    </row>
    <row r="8" spans="1:6" ht="14.45" customHeight="1">
      <c r="A8" s="122"/>
      <c r="B8" s="122"/>
      <c r="C8" s="122"/>
      <c r="D8" s="122"/>
      <c r="E8" s="122"/>
      <c r="F8" s="122"/>
    </row>
    <row r="9" spans="1:6">
      <c r="A9" s="2" t="s">
        <v>7</v>
      </c>
      <c r="B9" s="2" t="s">
        <v>178</v>
      </c>
      <c r="C9" s="2" t="s">
        <v>179</v>
      </c>
      <c r="D9" s="2" t="s">
        <v>180</v>
      </c>
      <c r="E9" s="2" t="s">
        <v>181</v>
      </c>
      <c r="F9" s="2" t="s">
        <v>182</v>
      </c>
    </row>
    <row r="10" spans="1:6">
      <c r="A10" s="6"/>
      <c r="B10" s="6"/>
      <c r="C10" s="6"/>
      <c r="D10" s="7" t="s">
        <v>183</v>
      </c>
      <c r="E10" s="6"/>
      <c r="F10" s="6"/>
    </row>
    <row r="11" spans="1:6" s="27" customFormat="1" ht="27.6">
      <c r="A11" s="44">
        <v>1</v>
      </c>
      <c r="B11" s="45" t="s">
        <v>184</v>
      </c>
      <c r="C11" s="102" t="s">
        <v>185</v>
      </c>
      <c r="D11" s="103" t="s">
        <v>186</v>
      </c>
      <c r="E11" s="104" t="s">
        <v>187</v>
      </c>
      <c r="F11" s="45" t="s">
        <v>188</v>
      </c>
    </row>
    <row r="12" spans="1:6">
      <c r="A12" s="6"/>
      <c r="B12" s="6"/>
      <c r="C12" s="6"/>
      <c r="D12" s="7" t="s">
        <v>189</v>
      </c>
      <c r="E12" s="6"/>
      <c r="F12" s="6"/>
    </row>
    <row r="13" spans="1:6" s="27" customFormat="1" ht="27.6">
      <c r="A13" s="44">
        <v>2</v>
      </c>
      <c r="B13" s="104" t="s">
        <v>190</v>
      </c>
      <c r="C13" s="46" t="s">
        <v>191</v>
      </c>
      <c r="D13" s="103" t="s">
        <v>192</v>
      </c>
      <c r="E13" s="45" t="s">
        <v>187</v>
      </c>
      <c r="F13" s="45" t="s">
        <v>188</v>
      </c>
    </row>
    <row r="14" spans="1:6" ht="27.6">
      <c r="A14" s="44">
        <v>3</v>
      </c>
      <c r="B14" s="104" t="s">
        <v>193</v>
      </c>
      <c r="C14" s="46" t="s">
        <v>194</v>
      </c>
      <c r="D14" s="103" t="s">
        <v>192</v>
      </c>
      <c r="E14" s="45" t="s">
        <v>187</v>
      </c>
      <c r="F14" s="45" t="s">
        <v>188</v>
      </c>
    </row>
    <row r="15" spans="1:6" s="27" customFormat="1" ht="27.6">
      <c r="A15" s="44">
        <v>4</v>
      </c>
      <c r="B15" s="104" t="s">
        <v>195</v>
      </c>
      <c r="C15" s="46" t="s">
        <v>196</v>
      </c>
      <c r="D15" s="103" t="s">
        <v>192</v>
      </c>
      <c r="E15" s="45" t="s">
        <v>187</v>
      </c>
      <c r="F15" s="45" t="s">
        <v>188</v>
      </c>
    </row>
    <row r="16" spans="1:6" s="27" customFormat="1" ht="27.6">
      <c r="A16" s="44">
        <v>5</v>
      </c>
      <c r="B16" s="104" t="s">
        <v>197</v>
      </c>
      <c r="C16" s="46" t="s">
        <v>198</v>
      </c>
      <c r="D16" s="103" t="s">
        <v>192</v>
      </c>
      <c r="E16" s="45" t="s">
        <v>187</v>
      </c>
      <c r="F16" s="45" t="s">
        <v>188</v>
      </c>
    </row>
    <row r="17" spans="1:6" ht="27.6">
      <c r="A17" s="44">
        <v>6</v>
      </c>
      <c r="B17" s="104" t="s">
        <v>199</v>
      </c>
      <c r="C17" s="46" t="s">
        <v>200</v>
      </c>
      <c r="D17" s="103" t="s">
        <v>192</v>
      </c>
      <c r="E17" s="45" t="s">
        <v>187</v>
      </c>
      <c r="F17" s="45" t="s">
        <v>188</v>
      </c>
    </row>
    <row r="18" spans="1:6" s="27" customFormat="1" ht="27.6">
      <c r="A18" s="44">
        <v>7</v>
      </c>
      <c r="B18" s="104" t="s">
        <v>201</v>
      </c>
      <c r="C18" s="46" t="s">
        <v>202</v>
      </c>
      <c r="D18" s="103" t="s">
        <v>192</v>
      </c>
      <c r="E18" s="45" t="s">
        <v>187</v>
      </c>
      <c r="F18" s="45" t="s">
        <v>188</v>
      </c>
    </row>
    <row r="19" spans="1:6" ht="27.6">
      <c r="A19" s="44">
        <v>8</v>
      </c>
      <c r="B19" s="104" t="s">
        <v>203</v>
      </c>
      <c r="C19" s="46" t="s">
        <v>204</v>
      </c>
      <c r="D19" s="103" t="s">
        <v>192</v>
      </c>
      <c r="E19" s="45" t="s">
        <v>187</v>
      </c>
      <c r="F19" s="45" t="s">
        <v>188</v>
      </c>
    </row>
    <row r="20" spans="1:6" s="27" customFormat="1" ht="27.6">
      <c r="A20" s="44">
        <v>9</v>
      </c>
      <c r="B20" s="104" t="s">
        <v>205</v>
      </c>
      <c r="C20" s="46" t="s">
        <v>206</v>
      </c>
      <c r="D20" s="103" t="s">
        <v>207</v>
      </c>
      <c r="E20" s="45" t="s">
        <v>208</v>
      </c>
      <c r="F20" s="45" t="s">
        <v>188</v>
      </c>
    </row>
    <row r="21" spans="1:6" ht="27.6">
      <c r="A21" s="44">
        <v>10</v>
      </c>
      <c r="B21" s="104" t="s">
        <v>209</v>
      </c>
      <c r="C21" s="46" t="s">
        <v>210</v>
      </c>
      <c r="D21" s="103" t="s">
        <v>211</v>
      </c>
      <c r="E21" s="104" t="s">
        <v>212</v>
      </c>
      <c r="F21" s="43"/>
    </row>
    <row r="22" spans="1:6" ht="27.6">
      <c r="A22" s="44">
        <v>11</v>
      </c>
      <c r="B22" s="45" t="s">
        <v>213</v>
      </c>
      <c r="C22" s="46" t="s">
        <v>214</v>
      </c>
      <c r="D22" s="45" t="s">
        <v>215</v>
      </c>
      <c r="E22" s="45" t="s">
        <v>216</v>
      </c>
      <c r="F22" s="45"/>
    </row>
    <row r="23" spans="1:6">
      <c r="A23" s="5"/>
      <c r="B23" s="5"/>
      <c r="C23" s="5"/>
      <c r="D23" s="5"/>
      <c r="E23" s="5"/>
      <c r="F23" s="5"/>
    </row>
  </sheetData>
  <mergeCells count="1">
    <mergeCell ref="A7:F8"/>
  </mergeCells>
  <pageMargins left="0.7" right="0.7" top="0.75" bottom="0.75" header="0.3" footer="0.3"/>
  <pageSetup scale="81" orientation="landscape" r:id="rId1"/>
  <headerFooter>
    <oddFooter>&amp;C&amp;"+,Regular"&amp;10Page &amp;P of &amp;N&amp;R&amp;"+,Regular"&amp;10Approved by:
Wafaa Alshaaban
Project Officer</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C210-FF99-49D8-8635-5217EB51E56C}">
  <sheetPr>
    <tabColor theme="4" tint="-0.249977111117893"/>
    <pageSetUpPr fitToPage="1"/>
  </sheetPr>
  <dimension ref="A1:C41"/>
  <sheetViews>
    <sheetView view="pageBreakPreview" zoomScaleNormal="100" zoomScaleSheetLayoutView="100" workbookViewId="0">
      <selection activeCell="A13" sqref="A13"/>
    </sheetView>
  </sheetViews>
  <sheetFormatPr defaultColWidth="8.5703125" defaultRowHeight="14.45"/>
  <cols>
    <col min="1" max="1" width="101.85546875" customWidth="1"/>
    <col min="2" max="2" width="17.42578125" customWidth="1"/>
    <col min="3" max="3" width="22.42578125" style="4" bestFit="1" customWidth="1"/>
  </cols>
  <sheetData>
    <row r="1" spans="1:3">
      <c r="A1" s="1" t="s">
        <v>0</v>
      </c>
      <c r="B1" s="1"/>
      <c r="C1"/>
    </row>
    <row r="2" spans="1:3">
      <c r="A2" t="s">
        <v>1</v>
      </c>
      <c r="C2"/>
    </row>
    <row r="3" spans="1:3">
      <c r="A3" t="s">
        <v>2</v>
      </c>
      <c r="C3"/>
    </row>
    <row r="4" spans="1:3">
      <c r="A4" t="s">
        <v>217</v>
      </c>
      <c r="C4"/>
    </row>
    <row r="5" spans="1:3">
      <c r="A5" t="s">
        <v>4</v>
      </c>
      <c r="C5"/>
    </row>
    <row r="6" spans="1:3">
      <c r="C6"/>
    </row>
    <row r="7" spans="1:3" s="26" customFormat="1" ht="33.75" customHeight="1">
      <c r="A7" s="129" t="s">
        <v>218</v>
      </c>
      <c r="B7" s="129"/>
      <c r="C7" s="129"/>
    </row>
    <row r="8" spans="1:3" s="27" customFormat="1" ht="30" customHeight="1">
      <c r="A8" s="130" t="s">
        <v>219</v>
      </c>
      <c r="B8" s="131"/>
      <c r="C8" s="132" t="s">
        <v>220</v>
      </c>
    </row>
    <row r="9" spans="1:3" s="27" customFormat="1" ht="30" customHeight="1">
      <c r="A9" s="92" t="s">
        <v>221</v>
      </c>
      <c r="B9" s="28" t="s">
        <v>222</v>
      </c>
      <c r="C9" s="93" t="s">
        <v>223</v>
      </c>
    </row>
    <row r="10" spans="1:3" s="27" customFormat="1" ht="30" customHeight="1">
      <c r="A10" s="94" t="s">
        <v>224</v>
      </c>
      <c r="B10" s="32">
        <v>14</v>
      </c>
      <c r="C10" s="95" t="s">
        <v>225</v>
      </c>
    </row>
    <row r="11" spans="1:3" s="27" customFormat="1" ht="30" customHeight="1">
      <c r="A11" s="94" t="s">
        <v>226</v>
      </c>
      <c r="B11" s="32" t="s">
        <v>227</v>
      </c>
      <c r="C11" s="95" t="s">
        <v>225</v>
      </c>
    </row>
    <row r="12" spans="1:3" s="27" customFormat="1" ht="30" customHeight="1">
      <c r="A12" s="94" t="s">
        <v>228</v>
      </c>
      <c r="B12" s="32">
        <v>1</v>
      </c>
      <c r="C12" s="95" t="s">
        <v>225</v>
      </c>
    </row>
    <row r="13" spans="1:3" s="27" customFormat="1" ht="30" customHeight="1">
      <c r="A13" s="94" t="s">
        <v>229</v>
      </c>
      <c r="B13" s="32">
        <v>7</v>
      </c>
      <c r="C13" s="95" t="s">
        <v>225</v>
      </c>
    </row>
    <row r="14" spans="1:3" s="27" customFormat="1" ht="30" customHeight="1">
      <c r="A14" s="94" t="s">
        <v>230</v>
      </c>
      <c r="B14" s="32" t="s">
        <v>231</v>
      </c>
      <c r="C14" s="95" t="s">
        <v>225</v>
      </c>
    </row>
    <row r="15" spans="1:3" s="27" customFormat="1" ht="30" customHeight="1">
      <c r="A15" s="94" t="s">
        <v>232</v>
      </c>
      <c r="B15" s="32">
        <v>7</v>
      </c>
      <c r="C15" s="95" t="s">
        <v>225</v>
      </c>
    </row>
    <row r="16" spans="1:3" s="27" customFormat="1" ht="30" customHeight="1">
      <c r="A16" s="94" t="s">
        <v>233</v>
      </c>
      <c r="B16" s="32">
        <v>2</v>
      </c>
      <c r="C16" s="95" t="s">
        <v>225</v>
      </c>
    </row>
    <row r="17" spans="1:3" s="27" customFormat="1" ht="30" customHeight="1">
      <c r="A17" s="94" t="s">
        <v>234</v>
      </c>
      <c r="B17" s="32">
        <v>3</v>
      </c>
      <c r="C17" s="95" t="s">
        <v>225</v>
      </c>
    </row>
    <row r="18" spans="1:3" s="27" customFormat="1" ht="30" customHeight="1">
      <c r="A18" s="96" t="s">
        <v>235</v>
      </c>
      <c r="B18" s="33">
        <v>2</v>
      </c>
      <c r="C18" s="95" t="s">
        <v>225</v>
      </c>
    </row>
    <row r="19" spans="1:3" s="27" customFormat="1" ht="30" customHeight="1">
      <c r="A19" s="94" t="s">
        <v>236</v>
      </c>
      <c r="B19" s="32">
        <v>2</v>
      </c>
      <c r="C19" s="95" t="s">
        <v>225</v>
      </c>
    </row>
    <row r="20" spans="1:3" s="27" customFormat="1" ht="30" customHeight="1">
      <c r="A20" s="96" t="s">
        <v>237</v>
      </c>
      <c r="B20" s="33">
        <v>7</v>
      </c>
      <c r="C20" s="97" t="s">
        <v>225</v>
      </c>
    </row>
    <row r="21" spans="1:3" s="27" customFormat="1" ht="30" customHeight="1">
      <c r="A21" s="123" t="s">
        <v>238</v>
      </c>
      <c r="B21" s="124"/>
      <c r="C21" s="125" t="s">
        <v>220</v>
      </c>
    </row>
    <row r="22" spans="1:3" s="27" customFormat="1" ht="30" customHeight="1">
      <c r="A22" s="92" t="s">
        <v>221</v>
      </c>
      <c r="B22" s="28" t="s">
        <v>222</v>
      </c>
      <c r="C22" s="93" t="s">
        <v>223</v>
      </c>
    </row>
    <row r="23" spans="1:3" s="27" customFormat="1" ht="30" customHeight="1">
      <c r="A23" s="96" t="s">
        <v>224</v>
      </c>
      <c r="B23" s="33">
        <v>14</v>
      </c>
      <c r="C23" s="97" t="s">
        <v>225</v>
      </c>
    </row>
    <row r="24" spans="1:3" s="27" customFormat="1" ht="30" customHeight="1">
      <c r="A24" s="96" t="s">
        <v>226</v>
      </c>
      <c r="B24" s="33" t="s">
        <v>227</v>
      </c>
      <c r="C24" s="97" t="s">
        <v>225</v>
      </c>
    </row>
    <row r="25" spans="1:3" s="27" customFormat="1" ht="30" customHeight="1">
      <c r="A25" s="96" t="s">
        <v>228</v>
      </c>
      <c r="B25" s="33">
        <v>2</v>
      </c>
      <c r="C25" s="97" t="s">
        <v>225</v>
      </c>
    </row>
    <row r="26" spans="1:3" s="27" customFormat="1" ht="30" customHeight="1">
      <c r="A26" s="96" t="s">
        <v>239</v>
      </c>
      <c r="B26" s="33">
        <v>2</v>
      </c>
      <c r="C26" s="97" t="s">
        <v>225</v>
      </c>
    </row>
    <row r="27" spans="1:3" s="27" customFormat="1" ht="30" customHeight="1">
      <c r="A27" s="96" t="s">
        <v>229</v>
      </c>
      <c r="B27" s="33">
        <v>7</v>
      </c>
      <c r="C27" s="97" t="s">
        <v>225</v>
      </c>
    </row>
    <row r="28" spans="1:3" s="27" customFormat="1" ht="30" customHeight="1">
      <c r="A28" s="96" t="s">
        <v>230</v>
      </c>
      <c r="B28" s="33" t="s">
        <v>231</v>
      </c>
      <c r="C28" s="97" t="s">
        <v>225</v>
      </c>
    </row>
    <row r="29" spans="1:3" s="27" customFormat="1" ht="30" customHeight="1">
      <c r="A29" s="96" t="s">
        <v>232</v>
      </c>
      <c r="B29" s="33">
        <v>7</v>
      </c>
      <c r="C29" s="97" t="s">
        <v>225</v>
      </c>
    </row>
    <row r="30" spans="1:3" s="27" customFormat="1" ht="30" customHeight="1">
      <c r="A30" s="96" t="s">
        <v>234</v>
      </c>
      <c r="B30" s="33">
        <v>3</v>
      </c>
      <c r="C30" s="97" t="s">
        <v>225</v>
      </c>
    </row>
    <row r="31" spans="1:3" s="27" customFormat="1" ht="30" customHeight="1">
      <c r="A31" s="96" t="s">
        <v>235</v>
      </c>
      <c r="B31" s="33">
        <v>2</v>
      </c>
      <c r="C31" s="97" t="s">
        <v>225</v>
      </c>
    </row>
    <row r="32" spans="1:3" s="27" customFormat="1" ht="30" customHeight="1">
      <c r="A32" s="96" t="s">
        <v>236</v>
      </c>
      <c r="B32" s="33">
        <v>2</v>
      </c>
      <c r="C32" s="97" t="s">
        <v>225</v>
      </c>
    </row>
    <row r="33" spans="1:3" s="27" customFormat="1" ht="30" customHeight="1">
      <c r="A33" s="96" t="s">
        <v>237</v>
      </c>
      <c r="B33" s="33">
        <v>7</v>
      </c>
      <c r="C33" s="97" t="s">
        <v>225</v>
      </c>
    </row>
    <row r="34" spans="1:3" ht="30" customHeight="1">
      <c r="A34" s="126" t="s">
        <v>240</v>
      </c>
      <c r="B34" s="127"/>
      <c r="C34" s="128" t="s">
        <v>220</v>
      </c>
    </row>
    <row r="35" spans="1:3" ht="30" customHeight="1">
      <c r="A35" s="92" t="s">
        <v>221</v>
      </c>
      <c r="B35" s="28" t="s">
        <v>222</v>
      </c>
      <c r="C35" s="93" t="s">
        <v>223</v>
      </c>
    </row>
    <row r="36" spans="1:3" ht="30" customHeight="1">
      <c r="A36" s="98" t="s">
        <v>224</v>
      </c>
      <c r="B36" s="34">
        <v>14</v>
      </c>
      <c r="C36" s="95" t="s">
        <v>225</v>
      </c>
    </row>
    <row r="37" spans="1:3" ht="30" customHeight="1">
      <c r="A37" s="98" t="s">
        <v>226</v>
      </c>
      <c r="B37" s="34">
        <v>2</v>
      </c>
      <c r="C37" s="95" t="s">
        <v>225</v>
      </c>
    </row>
    <row r="38" spans="1:3" ht="30" customHeight="1">
      <c r="A38" s="98" t="s">
        <v>241</v>
      </c>
      <c r="B38" s="34">
        <v>30</v>
      </c>
      <c r="C38" s="95" t="s">
        <v>225</v>
      </c>
    </row>
    <row r="39" spans="1:3" ht="30" customHeight="1">
      <c r="A39" s="98" t="s">
        <v>242</v>
      </c>
      <c r="B39" s="34">
        <v>2</v>
      </c>
      <c r="C39" s="95" t="s">
        <v>225</v>
      </c>
    </row>
    <row r="40" spans="1:3" ht="30" customHeight="1">
      <c r="A40" s="98" t="s">
        <v>237</v>
      </c>
      <c r="B40" s="34">
        <v>7</v>
      </c>
      <c r="C40" s="95" t="s">
        <v>225</v>
      </c>
    </row>
    <row r="41" spans="1:3" ht="30" customHeight="1">
      <c r="A41" s="99"/>
      <c r="B41" s="100"/>
      <c r="C41" s="101"/>
    </row>
  </sheetData>
  <mergeCells count="4">
    <mergeCell ref="A21:C21"/>
    <mergeCell ref="A34:C34"/>
    <mergeCell ref="A7:C7"/>
    <mergeCell ref="A8:C8"/>
  </mergeCells>
  <printOptions horizontalCentered="1"/>
  <pageMargins left="0.196850393700787" right="0.196850393700787" top="0.196850393700787" bottom="0.196850393700787" header="0.31496062992126" footer="0.31496062992126"/>
  <pageSetup paperSize="9" fitToHeight="0" orientation="landscape" r:id="rId1"/>
  <headerFooter>
    <oddFooter>&amp;C&amp;"+,Regular"&amp;10Page &amp;P of &amp;N&amp;R&amp;"+,Regular"&amp;10Approved by:
Wafaa Alshaaban
Project Officer</oddFooter>
  </headerFooter>
  <rowBreaks count="3" manualBreakCount="3">
    <brk id="14" max="2" man="1"/>
    <brk id="20" max="2" man="1"/>
    <brk id="33"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4483-CC31-45B0-A82F-2F0DED0CA2E9}">
  <sheetPr>
    <tabColor theme="4" tint="-0.499984740745262"/>
    <pageSetUpPr fitToPage="1"/>
  </sheetPr>
  <dimension ref="A1:B63"/>
  <sheetViews>
    <sheetView view="pageBreakPreview" zoomScale="90" zoomScaleNormal="130" zoomScaleSheetLayoutView="90" workbookViewId="0">
      <selection activeCell="C45" sqref="C45"/>
    </sheetView>
  </sheetViews>
  <sheetFormatPr defaultColWidth="9.140625" defaultRowHeight="14.45"/>
  <cols>
    <col min="1" max="1" width="10.85546875" style="41" customWidth="1"/>
    <col min="2" max="2" width="118.5703125" style="41" customWidth="1"/>
    <col min="3" max="3" width="71.42578125" style="41" customWidth="1"/>
    <col min="4" max="16384" width="9.140625" style="41"/>
  </cols>
  <sheetData>
    <row r="1" spans="1:2" customFormat="1">
      <c r="A1" s="1" t="s">
        <v>0</v>
      </c>
    </row>
    <row r="2" spans="1:2" customFormat="1">
      <c r="A2" t="s">
        <v>1</v>
      </c>
    </row>
    <row r="3" spans="1:2" customFormat="1">
      <c r="A3" t="s">
        <v>2</v>
      </c>
    </row>
    <row r="4" spans="1:2" customFormat="1">
      <c r="A4" t="s">
        <v>243</v>
      </c>
    </row>
    <row r="5" spans="1:2" customFormat="1">
      <c r="A5" t="s">
        <v>4</v>
      </c>
    </row>
    <row r="6" spans="1:2" customFormat="1"/>
    <row r="7" spans="1:2" ht="36.75" customHeight="1">
      <c r="A7" s="139" t="s">
        <v>244</v>
      </c>
      <c r="B7" s="140"/>
    </row>
    <row r="8" spans="1:2" s="3" customFormat="1" ht="24.75" customHeight="1">
      <c r="A8" s="83" t="s">
        <v>8</v>
      </c>
      <c r="B8" s="85" t="s">
        <v>245</v>
      </c>
    </row>
    <row r="9" spans="1:2" s="3" customFormat="1" ht="55.15">
      <c r="A9" s="133" t="s">
        <v>246</v>
      </c>
      <c r="B9" s="84" t="s">
        <v>247</v>
      </c>
    </row>
    <row r="10" spans="1:2" s="3" customFormat="1" ht="41.45">
      <c r="A10" s="134"/>
      <c r="B10" s="86" t="s">
        <v>248</v>
      </c>
    </row>
    <row r="11" spans="1:2" s="3" customFormat="1" ht="41.45">
      <c r="A11" s="134"/>
      <c r="B11" s="84" t="s">
        <v>249</v>
      </c>
    </row>
    <row r="12" spans="1:2" s="3" customFormat="1" ht="55.15">
      <c r="A12" s="134"/>
      <c r="B12" s="86" t="s">
        <v>250</v>
      </c>
    </row>
    <row r="13" spans="1:2" s="3" customFormat="1">
      <c r="A13" s="134"/>
      <c r="B13" s="84" t="s">
        <v>251</v>
      </c>
    </row>
    <row r="14" spans="1:2" s="3" customFormat="1" ht="27.6">
      <c r="A14" s="135"/>
      <c r="B14" s="84" t="s">
        <v>252</v>
      </c>
    </row>
    <row r="15" spans="1:2" s="3" customFormat="1" ht="14.45" customHeight="1">
      <c r="A15" s="133" t="s">
        <v>253</v>
      </c>
      <c r="B15" s="86" t="s">
        <v>254</v>
      </c>
    </row>
    <row r="16" spans="1:2" s="3" customFormat="1" ht="41.45">
      <c r="A16" s="134"/>
      <c r="B16" s="84" t="s">
        <v>255</v>
      </c>
    </row>
    <row r="17" spans="1:2" s="3" customFormat="1" ht="41.45">
      <c r="A17" s="134"/>
      <c r="B17" s="86" t="s">
        <v>256</v>
      </c>
    </row>
    <row r="18" spans="1:2" s="3" customFormat="1" ht="55.15">
      <c r="A18" s="134"/>
      <c r="B18" s="84" t="s">
        <v>257</v>
      </c>
    </row>
    <row r="19" spans="1:2" s="3" customFormat="1" ht="27.6">
      <c r="A19" s="135"/>
      <c r="B19" s="86" t="s">
        <v>258</v>
      </c>
    </row>
    <row r="20" spans="1:2" s="3" customFormat="1" ht="27.6">
      <c r="A20" s="133" t="s">
        <v>259</v>
      </c>
      <c r="B20" s="84" t="s">
        <v>260</v>
      </c>
    </row>
    <row r="21" spans="1:2" s="3" customFormat="1" ht="27.6">
      <c r="A21" s="134"/>
      <c r="B21" s="86" t="s">
        <v>261</v>
      </c>
    </row>
    <row r="22" spans="1:2" s="3" customFormat="1">
      <c r="A22" s="134"/>
      <c r="B22" s="84" t="s">
        <v>262</v>
      </c>
    </row>
    <row r="23" spans="1:2" s="3" customFormat="1" ht="27.6">
      <c r="A23" s="134"/>
      <c r="B23" s="86" t="s">
        <v>263</v>
      </c>
    </row>
    <row r="24" spans="1:2" s="3" customFormat="1" ht="41.45">
      <c r="A24" s="134"/>
      <c r="B24" s="84" t="s">
        <v>264</v>
      </c>
    </row>
    <row r="25" spans="1:2" s="3" customFormat="1" ht="27.6">
      <c r="A25" s="134"/>
      <c r="B25" s="86" t="s">
        <v>265</v>
      </c>
    </row>
    <row r="26" spans="1:2" s="3" customFormat="1" ht="27.6">
      <c r="A26" s="134"/>
      <c r="B26" s="84" t="s">
        <v>266</v>
      </c>
    </row>
    <row r="27" spans="1:2" s="3" customFormat="1" ht="27.6">
      <c r="A27" s="134"/>
      <c r="B27" s="86" t="s">
        <v>267</v>
      </c>
    </row>
    <row r="28" spans="1:2" s="3" customFormat="1">
      <c r="A28" s="134"/>
      <c r="B28" s="84" t="s">
        <v>268</v>
      </c>
    </row>
    <row r="29" spans="1:2" s="3" customFormat="1" ht="41.45">
      <c r="A29" s="134"/>
      <c r="B29" s="86" t="s">
        <v>269</v>
      </c>
    </row>
    <row r="30" spans="1:2" s="3" customFormat="1" ht="41.45">
      <c r="A30" s="134"/>
      <c r="B30" s="84" t="s">
        <v>270</v>
      </c>
    </row>
    <row r="31" spans="1:2" s="3" customFormat="1">
      <c r="A31" s="134"/>
      <c r="B31" s="86" t="s">
        <v>271</v>
      </c>
    </row>
    <row r="32" spans="1:2" s="3" customFormat="1" ht="27.6">
      <c r="A32" s="134"/>
      <c r="B32" s="84" t="s">
        <v>272</v>
      </c>
    </row>
    <row r="33" spans="1:2" s="3" customFormat="1">
      <c r="A33" s="134"/>
      <c r="B33" s="86" t="s">
        <v>273</v>
      </c>
    </row>
    <row r="34" spans="1:2" s="3" customFormat="1" ht="27.6">
      <c r="A34" s="134"/>
      <c r="B34" s="84" t="s">
        <v>274</v>
      </c>
    </row>
    <row r="35" spans="1:2" s="3" customFormat="1" ht="27.6">
      <c r="A35" s="134"/>
      <c r="B35" s="86" t="s">
        <v>275</v>
      </c>
    </row>
    <row r="36" spans="1:2" s="3" customFormat="1">
      <c r="A36" s="135"/>
      <c r="B36" s="84" t="s">
        <v>276</v>
      </c>
    </row>
    <row r="37" spans="1:2" s="3" customFormat="1" ht="69">
      <c r="A37" s="90" t="s">
        <v>277</v>
      </c>
      <c r="B37" s="84" t="s">
        <v>278</v>
      </c>
    </row>
    <row r="38" spans="1:2" s="3" customFormat="1" ht="41.45">
      <c r="A38" s="136" t="s">
        <v>279</v>
      </c>
      <c r="B38" s="87" t="s">
        <v>280</v>
      </c>
    </row>
    <row r="39" spans="1:2" s="3" customFormat="1" ht="41.45">
      <c r="A39" s="137"/>
      <c r="B39" s="84" t="s">
        <v>281</v>
      </c>
    </row>
    <row r="40" spans="1:2" s="3" customFormat="1" ht="27.6">
      <c r="A40" s="137"/>
      <c r="B40" s="84" t="s">
        <v>282</v>
      </c>
    </row>
    <row r="41" spans="1:2" s="3" customFormat="1" ht="27.6">
      <c r="A41" s="137"/>
      <c r="B41" s="86" t="s">
        <v>283</v>
      </c>
    </row>
    <row r="42" spans="1:2" s="3" customFormat="1">
      <c r="A42" s="137"/>
      <c r="B42" s="88" t="s">
        <v>284</v>
      </c>
    </row>
    <row r="43" spans="1:2" s="3" customFormat="1">
      <c r="A43" s="137"/>
      <c r="B43" s="84" t="s">
        <v>285</v>
      </c>
    </row>
    <row r="44" spans="1:2" s="3" customFormat="1" ht="27.6">
      <c r="A44" s="137"/>
      <c r="B44" s="84" t="s">
        <v>286</v>
      </c>
    </row>
    <row r="45" spans="1:2" s="3" customFormat="1" ht="32.1" customHeight="1">
      <c r="A45" s="137"/>
      <c r="B45" s="86" t="s">
        <v>287</v>
      </c>
    </row>
    <row r="46" spans="1:2" s="3" customFormat="1">
      <c r="A46" s="138"/>
      <c r="B46" s="84" t="s">
        <v>288</v>
      </c>
    </row>
    <row r="47" spans="1:2">
      <c r="A47" s="133" t="s">
        <v>289</v>
      </c>
      <c r="B47" s="107" t="s">
        <v>290</v>
      </c>
    </row>
    <row r="48" spans="1:2">
      <c r="A48" s="134"/>
      <c r="B48" s="107" t="s">
        <v>291</v>
      </c>
    </row>
    <row r="49" spans="1:2" ht="27.6">
      <c r="A49" s="134"/>
      <c r="B49" s="107" t="s">
        <v>292</v>
      </c>
    </row>
    <row r="50" spans="1:2" ht="27.6">
      <c r="A50" s="134"/>
      <c r="B50" s="107" t="s">
        <v>293</v>
      </c>
    </row>
    <row r="51" spans="1:2">
      <c r="A51" s="135"/>
      <c r="B51" s="107" t="s">
        <v>294</v>
      </c>
    </row>
    <row r="52" spans="1:2" ht="27.6">
      <c r="A52" s="133" t="s">
        <v>295</v>
      </c>
      <c r="B52" s="108" t="s">
        <v>296</v>
      </c>
    </row>
    <row r="53" spans="1:2">
      <c r="A53" s="134"/>
      <c r="B53" s="109" t="s">
        <v>297</v>
      </c>
    </row>
    <row r="54" spans="1:2">
      <c r="A54" s="134"/>
      <c r="B54" s="109" t="s">
        <v>298</v>
      </c>
    </row>
    <row r="55" spans="1:2" ht="27.6">
      <c r="A55" s="134"/>
      <c r="B55" s="109" t="s">
        <v>299</v>
      </c>
    </row>
    <row r="56" spans="1:2">
      <c r="A56" s="134"/>
      <c r="B56" s="110" t="s">
        <v>300</v>
      </c>
    </row>
    <row r="57" spans="1:2" ht="27.6">
      <c r="A57" s="134"/>
      <c r="B57" s="109" t="s">
        <v>301</v>
      </c>
    </row>
    <row r="58" spans="1:2" ht="41.45">
      <c r="A58" s="134"/>
      <c r="B58" s="109" t="s">
        <v>302</v>
      </c>
    </row>
    <row r="59" spans="1:2">
      <c r="A59" s="134"/>
      <c r="B59" s="109" t="s">
        <v>303</v>
      </c>
    </row>
    <row r="60" spans="1:2">
      <c r="A60" s="134"/>
      <c r="B60" s="109" t="s">
        <v>304</v>
      </c>
    </row>
    <row r="61" spans="1:2">
      <c r="A61" s="134"/>
      <c r="B61" s="109" t="s">
        <v>305</v>
      </c>
    </row>
    <row r="62" spans="1:2" ht="27.6">
      <c r="A62" s="135"/>
      <c r="B62" s="111" t="s">
        <v>306</v>
      </c>
    </row>
    <row r="63" spans="1:2">
      <c r="B63" s="89"/>
    </row>
  </sheetData>
  <mergeCells count="7">
    <mergeCell ref="A52:A62"/>
    <mergeCell ref="A47:A51"/>
    <mergeCell ref="A38:A46"/>
    <mergeCell ref="A7:B7"/>
    <mergeCell ref="A9:A14"/>
    <mergeCell ref="A15:A19"/>
    <mergeCell ref="A20:A36"/>
  </mergeCells>
  <printOptions horizontalCentered="1"/>
  <pageMargins left="0.39370078740157499" right="0.39370078740157499" top="0.39370078740157499" bottom="0.511811023622047" header="0.118110236220472" footer="0.118110236220472"/>
  <pageSetup paperSize="9" fitToHeight="0" orientation="landscape" r:id="rId1"/>
  <headerFooter>
    <oddFooter>&amp;C&amp;8&amp;K01+031Page &amp;P of &amp;N&amp;R&amp;8Approved by:
Wafaa Alshaaban
Project Officer</oddFooter>
  </headerFooter>
  <rowBreaks count="4" manualBreakCount="4">
    <brk id="14" max="1" man="1"/>
    <brk id="24" max="1" man="1"/>
    <brk id="36" max="1" man="1"/>
    <brk id="46" max="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78F2-BC7D-49FF-938A-16905E47BADA}">
  <sheetPr>
    <tabColor theme="8" tint="0.79998168889431442"/>
    <pageSetUpPr fitToPage="1"/>
  </sheetPr>
  <dimension ref="A1:AC44"/>
  <sheetViews>
    <sheetView workbookViewId="0">
      <selection activeCell="D32" sqref="D32"/>
    </sheetView>
  </sheetViews>
  <sheetFormatPr defaultRowHeight="14.45"/>
  <cols>
    <col min="1" max="1" width="4.5703125" customWidth="1"/>
    <col min="2" max="2" width="12.85546875" customWidth="1"/>
    <col min="3" max="3" width="17.42578125" customWidth="1"/>
    <col min="4" max="4" width="36.5703125" customWidth="1"/>
    <col min="5" max="5" width="7.5703125" customWidth="1"/>
    <col min="6" max="6" width="11.5703125" customWidth="1"/>
    <col min="7" max="7" width="9" customWidth="1"/>
    <col min="8" max="8" width="7.5703125" customWidth="1"/>
    <col min="11" max="11" width="8" customWidth="1"/>
    <col min="13" max="13" width="8.140625" customWidth="1"/>
    <col min="17" max="17" width="5.5703125" customWidth="1"/>
    <col min="18" max="18" width="13.140625" customWidth="1"/>
    <col min="20" max="20" width="12.140625" customWidth="1"/>
    <col min="21" max="21" width="13.42578125" customWidth="1"/>
    <col min="22" max="22" width="11" customWidth="1"/>
    <col min="23" max="23" width="15" customWidth="1"/>
    <col min="24" max="24" width="16.42578125" customWidth="1"/>
    <col min="25" max="25" width="6.140625" customWidth="1"/>
    <col min="27" max="27" width="12.5703125" customWidth="1"/>
  </cols>
  <sheetData>
    <row r="1" spans="1:29" ht="16.149999999999999" thickBot="1">
      <c r="F1" s="141" t="s">
        <v>307</v>
      </c>
      <c r="G1" s="142"/>
      <c r="H1" s="142"/>
      <c r="I1" s="142"/>
      <c r="J1" s="142"/>
      <c r="K1" s="142"/>
      <c r="L1" s="142"/>
      <c r="M1" s="142"/>
      <c r="N1" s="142"/>
      <c r="O1" s="142"/>
      <c r="P1" s="142"/>
      <c r="Q1" s="142"/>
      <c r="R1" s="142"/>
      <c r="S1" s="142"/>
      <c r="T1" s="142"/>
      <c r="U1" s="142"/>
      <c r="V1" s="142"/>
      <c r="W1" s="142"/>
      <c r="X1" s="142"/>
      <c r="Y1" s="142"/>
      <c r="Z1" s="142"/>
      <c r="AA1" s="142"/>
      <c r="AB1" s="142"/>
      <c r="AC1" s="143"/>
    </row>
    <row r="2" spans="1:29" s="41" customFormat="1" ht="29.25" customHeight="1" thickBot="1">
      <c r="F2" s="144" t="s">
        <v>308</v>
      </c>
      <c r="G2" s="145"/>
      <c r="H2" s="145"/>
      <c r="I2" s="144" t="s">
        <v>309</v>
      </c>
      <c r="J2" s="145"/>
      <c r="K2" s="145"/>
      <c r="L2" s="144" t="s">
        <v>310</v>
      </c>
      <c r="M2" s="145"/>
      <c r="N2" s="145"/>
      <c r="O2" s="144" t="s">
        <v>311</v>
      </c>
      <c r="P2" s="145"/>
      <c r="Q2" s="145"/>
      <c r="R2" s="146" t="s">
        <v>312</v>
      </c>
      <c r="S2" s="147"/>
      <c r="T2" s="147"/>
      <c r="U2" s="146" t="s">
        <v>313</v>
      </c>
      <c r="V2" s="147"/>
      <c r="W2" s="147"/>
      <c r="X2" s="146" t="s">
        <v>314</v>
      </c>
      <c r="Y2" s="147"/>
      <c r="Z2" s="147"/>
      <c r="AA2" s="148" t="s">
        <v>315</v>
      </c>
      <c r="AB2" s="149"/>
      <c r="AC2" s="150"/>
    </row>
    <row r="3" spans="1:29" ht="15" thickBot="1">
      <c r="A3" s="151" t="s">
        <v>316</v>
      </c>
      <c r="B3" s="152"/>
      <c r="C3" s="152"/>
      <c r="D3" s="153"/>
      <c r="F3" s="64" t="s">
        <v>317</v>
      </c>
      <c r="G3" s="65" t="s">
        <v>318</v>
      </c>
      <c r="H3" s="66" t="s">
        <v>9</v>
      </c>
      <c r="I3" s="64" t="s">
        <v>317</v>
      </c>
      <c r="J3" s="65" t="s">
        <v>318</v>
      </c>
      <c r="K3" s="66" t="s">
        <v>9</v>
      </c>
      <c r="L3" s="64" t="s">
        <v>317</v>
      </c>
      <c r="M3" s="65" t="s">
        <v>318</v>
      </c>
      <c r="N3" s="66" t="s">
        <v>9</v>
      </c>
      <c r="O3" s="64" t="s">
        <v>317</v>
      </c>
      <c r="P3" s="65" t="s">
        <v>318</v>
      </c>
      <c r="Q3" s="66" t="s">
        <v>9</v>
      </c>
      <c r="R3" s="64" t="s">
        <v>317</v>
      </c>
      <c r="S3" s="65" t="s">
        <v>318</v>
      </c>
      <c r="T3" s="66" t="s">
        <v>9</v>
      </c>
      <c r="U3" s="64" t="s">
        <v>317</v>
      </c>
      <c r="V3" s="65" t="s">
        <v>318</v>
      </c>
      <c r="W3" s="66" t="s">
        <v>9</v>
      </c>
      <c r="X3" s="64" t="s">
        <v>317</v>
      </c>
      <c r="Y3" s="65" t="s">
        <v>318</v>
      </c>
      <c r="Z3" s="66" t="s">
        <v>9</v>
      </c>
      <c r="AA3" s="64" t="s">
        <v>317</v>
      </c>
      <c r="AB3" s="65" t="s">
        <v>318</v>
      </c>
      <c r="AC3" s="67" t="s">
        <v>9</v>
      </c>
    </row>
    <row r="4" spans="1:29" ht="15" thickBot="1">
      <c r="A4" s="68" t="s">
        <v>319</v>
      </c>
      <c r="B4" s="69" t="s">
        <v>245</v>
      </c>
      <c r="C4" s="69" t="s">
        <v>320</v>
      </c>
      <c r="D4" s="70" t="s">
        <v>321</v>
      </c>
      <c r="F4" s="71" t="s">
        <v>322</v>
      </c>
      <c r="G4" s="47">
        <v>1.6</v>
      </c>
      <c r="H4" t="s">
        <v>323</v>
      </c>
      <c r="I4" s="71" t="s">
        <v>324</v>
      </c>
      <c r="J4" s="47">
        <v>0.3</v>
      </c>
      <c r="K4" t="s">
        <v>323</v>
      </c>
      <c r="L4" s="71" t="s">
        <v>324</v>
      </c>
      <c r="M4" s="47">
        <v>0.1</v>
      </c>
      <c r="N4" t="s">
        <v>323</v>
      </c>
      <c r="O4" s="71" t="s">
        <v>324</v>
      </c>
      <c r="P4" s="47">
        <v>0.3</v>
      </c>
      <c r="Q4" t="s">
        <v>323</v>
      </c>
      <c r="R4" s="71" t="s">
        <v>325</v>
      </c>
      <c r="S4" s="47">
        <v>2</v>
      </c>
      <c r="T4" t="s">
        <v>323</v>
      </c>
      <c r="U4" s="72" t="s">
        <v>325</v>
      </c>
      <c r="V4" s="73">
        <f>S4</f>
        <v>2</v>
      </c>
      <c r="W4" t="s">
        <v>323</v>
      </c>
      <c r="X4" s="71" t="s">
        <v>326</v>
      </c>
      <c r="Y4" s="47">
        <v>0.5</v>
      </c>
      <c r="Z4" t="s">
        <v>323</v>
      </c>
      <c r="AA4" s="71" t="s">
        <v>327</v>
      </c>
      <c r="AB4" s="47">
        <v>1</v>
      </c>
      <c r="AC4" s="74" t="s">
        <v>323</v>
      </c>
    </row>
    <row r="5" spans="1:29">
      <c r="A5" s="75">
        <v>1</v>
      </c>
      <c r="B5" s="69" t="s">
        <v>23</v>
      </c>
      <c r="C5" s="154" t="s">
        <v>328</v>
      </c>
      <c r="D5" s="155"/>
      <c r="F5" s="71" t="s">
        <v>329</v>
      </c>
      <c r="G5" s="47">
        <v>1.5</v>
      </c>
      <c r="H5" t="s">
        <v>323</v>
      </c>
      <c r="I5" s="72" t="s">
        <v>330</v>
      </c>
      <c r="J5" s="73">
        <f>G5*4</f>
        <v>6</v>
      </c>
      <c r="K5" t="s">
        <v>323</v>
      </c>
      <c r="L5" s="72" t="s">
        <v>331</v>
      </c>
      <c r="M5" s="73">
        <f>J6</f>
        <v>1.7999999999999998</v>
      </c>
      <c r="N5" t="s">
        <v>17</v>
      </c>
      <c r="O5" s="71" t="s">
        <v>332</v>
      </c>
      <c r="P5" s="47">
        <f>G6</f>
        <v>1.5</v>
      </c>
      <c r="Q5" t="s">
        <v>323</v>
      </c>
      <c r="R5" s="71" t="s">
        <v>333</v>
      </c>
      <c r="S5" s="47">
        <v>1.835</v>
      </c>
      <c r="T5" t="s">
        <v>323</v>
      </c>
      <c r="U5" s="72" t="s">
        <v>333</v>
      </c>
      <c r="V5" s="73">
        <f>G6</f>
        <v>1.5</v>
      </c>
      <c r="W5" t="s">
        <v>323</v>
      </c>
      <c r="X5" s="71" t="s">
        <v>324</v>
      </c>
      <c r="Y5" s="47">
        <v>0.3</v>
      </c>
      <c r="Z5" t="s">
        <v>323</v>
      </c>
      <c r="AA5" s="72" t="s">
        <v>334</v>
      </c>
      <c r="AB5" s="73">
        <f>SQRT(S5^2+S4^2)</f>
        <v>2.7142632517867531</v>
      </c>
      <c r="AC5" s="74" t="s">
        <v>323</v>
      </c>
    </row>
    <row r="6" spans="1:29">
      <c r="A6" s="72"/>
      <c r="B6" t="s">
        <v>335</v>
      </c>
      <c r="C6" s="73">
        <f>J7</f>
        <v>2.88</v>
      </c>
      <c r="D6" s="74" t="s">
        <v>336</v>
      </c>
      <c r="F6" s="71" t="s">
        <v>337</v>
      </c>
      <c r="G6" s="47">
        <v>1.5</v>
      </c>
      <c r="H6" t="s">
        <v>323</v>
      </c>
      <c r="I6" s="72" t="s">
        <v>331</v>
      </c>
      <c r="J6" s="73">
        <f>J5*J4</f>
        <v>1.7999999999999998</v>
      </c>
      <c r="K6" t="s">
        <v>17</v>
      </c>
      <c r="L6" s="72" t="s">
        <v>338</v>
      </c>
      <c r="M6" s="73">
        <f>M5*M4</f>
        <v>0.18</v>
      </c>
      <c r="N6" t="s">
        <v>20</v>
      </c>
      <c r="O6" s="71" t="s">
        <v>334</v>
      </c>
      <c r="P6" s="47">
        <f>G4</f>
        <v>1.6</v>
      </c>
      <c r="Q6" t="s">
        <v>323</v>
      </c>
      <c r="R6" s="72" t="s">
        <v>324</v>
      </c>
      <c r="S6" s="73">
        <f>P4</f>
        <v>0.3</v>
      </c>
      <c r="T6" t="s">
        <v>323</v>
      </c>
      <c r="U6" s="72" t="s">
        <v>324</v>
      </c>
      <c r="V6" s="73">
        <f>P4</f>
        <v>0.3</v>
      </c>
      <c r="W6" t="s">
        <v>323</v>
      </c>
      <c r="X6" s="72" t="s">
        <v>332</v>
      </c>
      <c r="Y6" s="73">
        <f>G6</f>
        <v>1.5</v>
      </c>
      <c r="Z6" t="s">
        <v>323</v>
      </c>
      <c r="AA6" s="72" t="s">
        <v>339</v>
      </c>
      <c r="AB6" s="73">
        <f>AB5*Y5*AB4*4</f>
        <v>3.2571159021441036</v>
      </c>
      <c r="AC6" s="74" t="s">
        <v>20</v>
      </c>
    </row>
    <row r="7" spans="1:29" ht="15" thickBot="1">
      <c r="A7" s="72"/>
      <c r="B7" t="s">
        <v>340</v>
      </c>
      <c r="C7" s="73">
        <f>M6</f>
        <v>0.18</v>
      </c>
      <c r="D7" s="74" t="s">
        <v>336</v>
      </c>
      <c r="F7" s="76"/>
      <c r="G7" s="77"/>
      <c r="H7" s="77"/>
      <c r="I7" s="76" t="s">
        <v>338</v>
      </c>
      <c r="J7" s="78">
        <f>J6*G4</f>
        <v>2.88</v>
      </c>
      <c r="K7" s="77" t="s">
        <v>20</v>
      </c>
      <c r="L7" s="76"/>
      <c r="M7" s="77"/>
      <c r="N7" s="77"/>
      <c r="O7" s="76" t="s">
        <v>338</v>
      </c>
      <c r="P7" s="78">
        <f>P6*P5*P4</f>
        <v>0.72000000000000008</v>
      </c>
      <c r="Q7" s="77" t="s">
        <v>20</v>
      </c>
      <c r="R7" s="76" t="s">
        <v>338</v>
      </c>
      <c r="S7" s="78">
        <f>S6*S5*S4*2</f>
        <v>2.202</v>
      </c>
      <c r="T7" s="77" t="s">
        <v>20</v>
      </c>
      <c r="U7" s="76" t="s">
        <v>338</v>
      </c>
      <c r="V7" s="78">
        <f>V6*V5*V4*2</f>
        <v>1.7999999999999998</v>
      </c>
      <c r="W7" s="77" t="s">
        <v>20</v>
      </c>
      <c r="X7" s="76" t="s">
        <v>338</v>
      </c>
      <c r="Y7" s="78">
        <f>Y6*Y5*Y4*2</f>
        <v>0.44999999999999996</v>
      </c>
      <c r="Z7" s="77" t="s">
        <v>20</v>
      </c>
      <c r="AA7" s="76" t="s">
        <v>341</v>
      </c>
      <c r="AB7" s="78">
        <f>(Y4+G5-AB4)*AB5*Y5*2</f>
        <v>1.6285579510720518</v>
      </c>
      <c r="AC7" s="79" t="s">
        <v>20</v>
      </c>
    </row>
    <row r="8" spans="1:29" ht="15" thickBot="1">
      <c r="A8" s="72"/>
      <c r="B8" t="s">
        <v>342</v>
      </c>
      <c r="C8" s="80">
        <f>P7</f>
        <v>0.72000000000000008</v>
      </c>
      <c r="D8" s="74" t="s">
        <v>336</v>
      </c>
    </row>
    <row r="9" spans="1:29">
      <c r="A9" s="75">
        <v>2</v>
      </c>
      <c r="B9" s="69" t="s">
        <v>343</v>
      </c>
      <c r="C9" s="81"/>
      <c r="D9" s="82"/>
    </row>
    <row r="10" spans="1:29">
      <c r="A10" s="72"/>
      <c r="B10" t="s">
        <v>344</v>
      </c>
      <c r="C10" s="73">
        <f>S7</f>
        <v>2.202</v>
      </c>
      <c r="D10" s="74" t="s">
        <v>345</v>
      </c>
    </row>
    <row r="11" spans="1:29" ht="15" thickBot="1">
      <c r="A11" s="72"/>
      <c r="B11" t="s">
        <v>346</v>
      </c>
      <c r="C11" s="80">
        <f>V7</f>
        <v>1.7999999999999998</v>
      </c>
      <c r="D11" s="74" t="s">
        <v>347</v>
      </c>
      <c r="I11">
        <f>(C11*2*10)+C10</f>
        <v>38.201999999999998</v>
      </c>
    </row>
    <row r="12" spans="1:29">
      <c r="A12" s="75">
        <v>3</v>
      </c>
      <c r="B12" s="69" t="s">
        <v>348</v>
      </c>
      <c r="C12" s="81"/>
      <c r="D12" s="82"/>
    </row>
    <row r="13" spans="1:29">
      <c r="A13" s="72"/>
      <c r="B13" t="s">
        <v>349</v>
      </c>
      <c r="C13" s="73">
        <f>Y7</f>
        <v>0.44999999999999996</v>
      </c>
      <c r="D13" s="74" t="s">
        <v>347</v>
      </c>
    </row>
    <row r="14" spans="1:29" ht="16.149999999999999" thickBot="1">
      <c r="A14" s="76"/>
      <c r="B14" s="77" t="s">
        <v>315</v>
      </c>
      <c r="C14" s="78">
        <f>AB6+AB7</f>
        <v>4.8856738532161552</v>
      </c>
      <c r="D14" s="79" t="s">
        <v>350</v>
      </c>
      <c r="O14" s="51"/>
    </row>
    <row r="16" spans="1:29">
      <c r="B16" s="156" t="s">
        <v>351</v>
      </c>
      <c r="C16" s="157"/>
      <c r="D16" s="157"/>
      <c r="E16" s="158"/>
      <c r="J16">
        <f>C6*6*2</f>
        <v>34.56</v>
      </c>
    </row>
    <row r="17" spans="1:5">
      <c r="B17" s="56"/>
      <c r="C17" s="56" t="s">
        <v>352</v>
      </c>
      <c r="D17" s="56" t="s">
        <v>353</v>
      </c>
      <c r="E17" s="56" t="s">
        <v>354</v>
      </c>
    </row>
    <row r="18" spans="1:5">
      <c r="B18" s="56" t="s">
        <v>355</v>
      </c>
      <c r="C18" s="56">
        <f>C6</f>
        <v>2.88</v>
      </c>
      <c r="D18" s="56"/>
      <c r="E18" s="56"/>
    </row>
    <row r="19" spans="1:5">
      <c r="B19" s="56" t="s">
        <v>356</v>
      </c>
      <c r="C19" s="56" t="s">
        <v>357</v>
      </c>
      <c r="D19" s="56">
        <f>C13</f>
        <v>0.44999999999999996</v>
      </c>
      <c r="E19" s="56">
        <f>C14</f>
        <v>4.8856738532161552</v>
      </c>
    </row>
    <row r="20" spans="1:5">
      <c r="B20" s="56" t="s">
        <v>358</v>
      </c>
      <c r="C20" s="56">
        <f>C7</f>
        <v>0.18</v>
      </c>
      <c r="D20" s="56"/>
      <c r="E20" s="56"/>
    </row>
    <row r="21" spans="1:5">
      <c r="B21" s="56" t="s">
        <v>359</v>
      </c>
      <c r="C21" s="56">
        <f>C8</f>
        <v>0.72000000000000008</v>
      </c>
      <c r="D21" s="56">
        <f>C11</f>
        <v>1.7999999999999998</v>
      </c>
      <c r="E21" s="56">
        <f>C10</f>
        <v>2.202</v>
      </c>
    </row>
    <row r="24" spans="1:5">
      <c r="A24" s="49" t="s">
        <v>360</v>
      </c>
    </row>
    <row r="25" spans="1:5">
      <c r="A25" s="159" t="s">
        <v>361</v>
      </c>
      <c r="B25" s="160"/>
      <c r="C25" s="161"/>
    </row>
    <row r="26" spans="1:5">
      <c r="A26" s="162" t="s">
        <v>362</v>
      </c>
      <c r="B26" s="163"/>
      <c r="C26" s="164"/>
    </row>
    <row r="37" spans="10:21">
      <c r="Q37" t="s">
        <v>363</v>
      </c>
      <c r="U37" t="s">
        <v>364</v>
      </c>
    </row>
    <row r="42" spans="10:21">
      <c r="J42">
        <v>424.94</v>
      </c>
      <c r="K42">
        <v>424.8</v>
      </c>
      <c r="M42">
        <v>0.14000000000000001</v>
      </c>
      <c r="N42">
        <v>400</v>
      </c>
      <c r="O42">
        <f>N42*7</f>
        <v>2800</v>
      </c>
    </row>
    <row r="43" spans="10:21">
      <c r="K43">
        <f>J42-K42</f>
        <v>0.13999999999998636</v>
      </c>
      <c r="M43">
        <v>1</v>
      </c>
      <c r="N43">
        <v>100</v>
      </c>
    </row>
    <row r="44" spans="10:21">
      <c r="K44">
        <f>K43/400</f>
        <v>3.499999999999659E-4</v>
      </c>
      <c r="N44">
        <f>M43/N43</f>
        <v>0.01</v>
      </c>
    </row>
  </sheetData>
  <mergeCells count="14">
    <mergeCell ref="A3:D3"/>
    <mergeCell ref="C5:D5"/>
    <mergeCell ref="B16:E16"/>
    <mergeCell ref="A25:C25"/>
    <mergeCell ref="A26:C26"/>
    <mergeCell ref="F1:AC1"/>
    <mergeCell ref="F2:H2"/>
    <mergeCell ref="I2:K2"/>
    <mergeCell ref="L2:N2"/>
    <mergeCell ref="O2:Q2"/>
    <mergeCell ref="R2:T2"/>
    <mergeCell ref="U2:W2"/>
    <mergeCell ref="X2:Z2"/>
    <mergeCell ref="AA2:AC2"/>
  </mergeCells>
  <pageMargins left="0.7" right="0.7" top="0.75" bottom="0.75" header="0.3" footer="0.3"/>
  <pageSetup paperSize="9" scale="41" fitToHeight="0" orientation="landscape" horizontalDpi="300" r:id="rId1"/>
  <headerFooter>
    <oddFooter>&amp;C&amp;"+,Regular"&amp;10Page &amp;P of &amp;N&amp;R&amp;"+,Regular"&amp;10Approved by:
Wafaa Alshaaban
Project Officer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8A8D-4F83-425E-9F19-8D15972540E2}">
  <sheetPr>
    <tabColor theme="8" tint="0.59999389629810485"/>
    <pageSetUpPr fitToPage="1"/>
  </sheetPr>
  <dimension ref="A1:Q29"/>
  <sheetViews>
    <sheetView tabSelected="1" zoomScale="85" zoomScaleNormal="85" workbookViewId="0">
      <selection activeCell="T19" sqref="T19"/>
    </sheetView>
  </sheetViews>
  <sheetFormatPr defaultRowHeight="14.45"/>
  <cols>
    <col min="3" max="3" width="11.42578125" bestFit="1" customWidth="1"/>
    <col min="5" max="5" width="15.5703125" customWidth="1"/>
    <col min="7" max="7" width="15.5703125" customWidth="1"/>
    <col min="10" max="10" width="29.5703125" bestFit="1" customWidth="1"/>
    <col min="14" max="14" width="14.140625" customWidth="1"/>
  </cols>
  <sheetData>
    <row r="1" spans="1:17" ht="15" thickBot="1">
      <c r="E1" s="165" t="s">
        <v>365</v>
      </c>
      <c r="F1" s="166"/>
      <c r="G1" s="166"/>
      <c r="H1" s="166"/>
      <c r="I1" s="166"/>
      <c r="J1" s="166"/>
      <c r="K1" s="166"/>
      <c r="L1" s="166"/>
      <c r="M1" s="166"/>
      <c r="N1" s="166"/>
      <c r="O1" s="166"/>
      <c r="P1" s="166"/>
      <c r="Q1" s="167"/>
    </row>
    <row r="2" spans="1:17">
      <c r="E2" t="s">
        <v>308</v>
      </c>
      <c r="J2" t="s">
        <v>366</v>
      </c>
      <c r="N2" t="s">
        <v>367</v>
      </c>
    </row>
    <row r="3" spans="1:17" ht="16.149999999999999">
      <c r="H3">
        <v>1</v>
      </c>
      <c r="I3" t="s">
        <v>368</v>
      </c>
      <c r="J3" t="s">
        <v>369</v>
      </c>
      <c r="K3">
        <v>12</v>
      </c>
      <c r="L3" t="s">
        <v>370</v>
      </c>
      <c r="M3" t="s">
        <v>371</v>
      </c>
      <c r="N3" t="s">
        <v>372</v>
      </c>
      <c r="O3">
        <v>7850</v>
      </c>
      <c r="P3" t="s">
        <v>373</v>
      </c>
    </row>
    <row r="4" spans="1:17">
      <c r="E4" t="s">
        <v>327</v>
      </c>
      <c r="F4" s="47">
        <v>1200</v>
      </c>
      <c r="G4" t="s">
        <v>370</v>
      </c>
      <c r="H4">
        <v>3</v>
      </c>
      <c r="I4" t="s">
        <v>368</v>
      </c>
      <c r="J4" t="s">
        <v>374</v>
      </c>
      <c r="K4">
        <v>127</v>
      </c>
      <c r="L4" t="s">
        <v>370</v>
      </c>
      <c r="M4" t="s">
        <v>375</v>
      </c>
      <c r="N4" t="s">
        <v>372</v>
      </c>
      <c r="O4">
        <v>15</v>
      </c>
      <c r="P4" t="s">
        <v>376</v>
      </c>
    </row>
    <row r="5" spans="1:17" ht="16.149999999999999">
      <c r="E5" t="s">
        <v>332</v>
      </c>
      <c r="F5" s="47">
        <v>1200</v>
      </c>
      <c r="G5" t="s">
        <v>370</v>
      </c>
      <c r="H5">
        <v>3</v>
      </c>
      <c r="I5" t="s">
        <v>368</v>
      </c>
      <c r="J5" t="s">
        <v>377</v>
      </c>
      <c r="K5">
        <v>70</v>
      </c>
      <c r="L5" t="s">
        <v>370</v>
      </c>
      <c r="M5" t="s">
        <v>178</v>
      </c>
      <c r="N5" t="s">
        <v>372</v>
      </c>
      <c r="O5">
        <v>7850</v>
      </c>
      <c r="P5" t="s">
        <v>373</v>
      </c>
    </row>
    <row r="6" spans="1:17" ht="16.149999999999999">
      <c r="A6" t="s">
        <v>378</v>
      </c>
      <c r="B6" t="s">
        <v>379</v>
      </c>
      <c r="C6" s="48">
        <f>(F4/1000)*(F5/1000)*(K3/1000)</f>
        <v>1.728E-2</v>
      </c>
      <c r="D6" t="s">
        <v>380</v>
      </c>
      <c r="K6">
        <v>90</v>
      </c>
      <c r="L6" t="s">
        <v>370</v>
      </c>
      <c r="M6" t="s">
        <v>381</v>
      </c>
    </row>
    <row r="7" spans="1:17">
      <c r="B7" t="s">
        <v>382</v>
      </c>
      <c r="C7" s="49" t="str">
        <f>N3</f>
        <v>Steel</v>
      </c>
      <c r="D7" s="49"/>
      <c r="K7">
        <v>100</v>
      </c>
      <c r="L7" t="s">
        <v>370</v>
      </c>
      <c r="M7" t="s">
        <v>383</v>
      </c>
    </row>
    <row r="8" spans="1:17" ht="16.149999999999999">
      <c r="B8" t="s">
        <v>384</v>
      </c>
      <c r="C8" s="50">
        <f>((C6*O3)+(O4*F5/1000*H4))*1.2</f>
        <v>227.57759999999999</v>
      </c>
      <c r="D8" s="49" t="s">
        <v>385</v>
      </c>
      <c r="H8">
        <v>3</v>
      </c>
      <c r="I8" t="s">
        <v>368</v>
      </c>
      <c r="J8" t="s">
        <v>386</v>
      </c>
      <c r="K8">
        <v>50</v>
      </c>
      <c r="L8" t="s">
        <v>370</v>
      </c>
      <c r="M8" t="s">
        <v>178</v>
      </c>
      <c r="N8" t="s">
        <v>387</v>
      </c>
      <c r="O8">
        <v>8770</v>
      </c>
      <c r="P8" t="s">
        <v>373</v>
      </c>
    </row>
    <row r="9" spans="1:17" ht="16.149999999999999">
      <c r="A9" t="s">
        <v>388</v>
      </c>
      <c r="B9" t="s">
        <v>379</v>
      </c>
      <c r="C9" s="48">
        <f>(K17/1000*K18/1000)*((2*F4/1000)+(2*F5/1000))</f>
        <v>5.7599999999999995E-3</v>
      </c>
      <c r="D9" t="s">
        <v>380</v>
      </c>
      <c r="K9">
        <v>70</v>
      </c>
      <c r="L9" t="s">
        <v>370</v>
      </c>
      <c r="M9" t="s">
        <v>381</v>
      </c>
    </row>
    <row r="10" spans="1:17" ht="15.6">
      <c r="B10" t="s">
        <v>382</v>
      </c>
      <c r="C10" s="49" t="str">
        <f>N17</f>
        <v>Steel</v>
      </c>
      <c r="D10" s="49"/>
      <c r="G10" s="51"/>
      <c r="K10">
        <v>100</v>
      </c>
      <c r="L10" t="s">
        <v>370</v>
      </c>
      <c r="M10" t="s">
        <v>383</v>
      </c>
    </row>
    <row r="11" spans="1:17" ht="16.149999999999999">
      <c r="B11" t="s">
        <v>384</v>
      </c>
      <c r="C11" s="50">
        <f>(H17*C9*O17)*1.2</f>
        <v>54.259199999999993</v>
      </c>
      <c r="D11" s="49" t="s">
        <v>385</v>
      </c>
      <c r="H11">
        <v>3</v>
      </c>
      <c r="I11" t="s">
        <v>368</v>
      </c>
      <c r="J11" t="s">
        <v>389</v>
      </c>
      <c r="K11">
        <v>50</v>
      </c>
      <c r="L11" t="s">
        <v>370</v>
      </c>
      <c r="M11" t="s">
        <v>381</v>
      </c>
      <c r="N11" t="s">
        <v>390</v>
      </c>
      <c r="O11">
        <v>7850</v>
      </c>
      <c r="P11" t="s">
        <v>373</v>
      </c>
    </row>
    <row r="12" spans="1:17" ht="16.149999999999999">
      <c r="A12" t="s">
        <v>391</v>
      </c>
      <c r="B12" t="s">
        <v>379</v>
      </c>
      <c r="C12" s="48">
        <f>H5*PI()*(K7/1000)*((K6/1000)^2-(K5/1000)^2)</f>
        <v>3.0159289474462002E-3</v>
      </c>
      <c r="D12" t="s">
        <v>380</v>
      </c>
      <c r="E12" s="48">
        <f>H8*PI()*(K10/1000)*((K9/1000)^2-(K8/1000)^2)</f>
        <v>2.2619467105846514E-3</v>
      </c>
      <c r="F12" t="s">
        <v>380</v>
      </c>
      <c r="G12" s="48">
        <f>H11*PI()*(K12/1000)*((K11/1000)^2)</f>
        <v>2.3561944901923453E-3</v>
      </c>
      <c r="H12" t="s">
        <v>380</v>
      </c>
      <c r="K12">
        <v>100</v>
      </c>
      <c r="L12" t="s">
        <v>370</v>
      </c>
      <c r="M12" t="s">
        <v>383</v>
      </c>
    </row>
    <row r="13" spans="1:17" ht="16.149999999999999">
      <c r="B13" t="s">
        <v>382</v>
      </c>
      <c r="C13" s="49" t="str">
        <f>N5</f>
        <v>Steel</v>
      </c>
      <c r="E13" s="49" t="str">
        <f>N8</f>
        <v>Bronze</v>
      </c>
      <c r="G13" s="49" t="str">
        <f>N11</f>
        <v>Stainless steel</v>
      </c>
      <c r="H13" s="49">
        <v>1</v>
      </c>
      <c r="I13" t="s">
        <v>368</v>
      </c>
      <c r="J13" t="s">
        <v>392</v>
      </c>
      <c r="K13">
        <v>20</v>
      </c>
      <c r="L13" t="s">
        <v>370</v>
      </c>
      <c r="M13" t="s">
        <v>371</v>
      </c>
      <c r="N13" t="s">
        <v>393</v>
      </c>
      <c r="O13">
        <v>1230</v>
      </c>
      <c r="P13" t="s">
        <v>373</v>
      </c>
    </row>
    <row r="14" spans="1:17">
      <c r="B14" t="s">
        <v>384</v>
      </c>
      <c r="C14" s="50">
        <f>(C12*O5)*1.05</f>
        <v>24.858794349325308</v>
      </c>
      <c r="E14" s="50">
        <f>(E12*O8)*1.05</f>
        <v>20.829136284418766</v>
      </c>
      <c r="G14" s="50">
        <f>(G12*O11)*1.05</f>
        <v>19.420933085410407</v>
      </c>
      <c r="H14" s="49" t="s">
        <v>394</v>
      </c>
      <c r="K14">
        <v>50</v>
      </c>
      <c r="L14" t="s">
        <v>370</v>
      </c>
      <c r="M14" t="s">
        <v>395</v>
      </c>
    </row>
    <row r="15" spans="1:17" ht="16.149999999999999">
      <c r="A15" t="s">
        <v>392</v>
      </c>
      <c r="B15" t="s">
        <v>379</v>
      </c>
      <c r="C15" s="48">
        <f>((K13/1000)*(K14/1000)*((2*F4/1000)+(2*F5/1000)))</f>
        <v>4.7999999999999996E-3</v>
      </c>
      <c r="D15" t="s">
        <v>380</v>
      </c>
    </row>
    <row r="16" spans="1:17">
      <c r="B16" t="s">
        <v>382</v>
      </c>
      <c r="C16" s="49" t="str">
        <f>N13</f>
        <v>Neoprene</v>
      </c>
      <c r="D16" s="49"/>
      <c r="J16" t="s">
        <v>396</v>
      </c>
      <c r="N16" t="s">
        <v>367</v>
      </c>
    </row>
    <row r="17" spans="1:16" ht="16.149999999999999">
      <c r="B17" t="s">
        <v>384</v>
      </c>
      <c r="C17" s="50">
        <f>(C15*O13)*1.05</f>
        <v>6.1992000000000003</v>
      </c>
      <c r="D17" s="49" t="s">
        <v>394</v>
      </c>
      <c r="H17">
        <v>1</v>
      </c>
      <c r="I17" t="s">
        <v>368</v>
      </c>
      <c r="J17" t="s">
        <v>369</v>
      </c>
      <c r="K17">
        <v>12</v>
      </c>
      <c r="L17" t="s">
        <v>370</v>
      </c>
      <c r="M17" t="s">
        <v>371</v>
      </c>
      <c r="N17" t="s">
        <v>372</v>
      </c>
      <c r="O17">
        <v>7850</v>
      </c>
      <c r="P17" t="s">
        <v>373</v>
      </c>
    </row>
    <row r="18" spans="1:16">
      <c r="K18">
        <v>100</v>
      </c>
      <c r="L18" t="s">
        <v>370</v>
      </c>
      <c r="M18" t="s">
        <v>395</v>
      </c>
    </row>
    <row r="21" spans="1:16">
      <c r="C21" t="s">
        <v>397</v>
      </c>
    </row>
    <row r="22" spans="1:16">
      <c r="C22" t="s">
        <v>398</v>
      </c>
    </row>
    <row r="23" spans="1:16">
      <c r="C23" t="s">
        <v>399</v>
      </c>
    </row>
    <row r="24" spans="1:16">
      <c r="C24" t="s">
        <v>400</v>
      </c>
    </row>
    <row r="25" spans="1:16" ht="15" thickBot="1">
      <c r="A25" s="49" t="s">
        <v>401</v>
      </c>
    </row>
    <row r="26" spans="1:16">
      <c r="B26" s="52" t="s">
        <v>372</v>
      </c>
      <c r="C26" s="53" t="s">
        <v>393</v>
      </c>
      <c r="D26" s="53" t="s">
        <v>387</v>
      </c>
      <c r="E26" s="54" t="s">
        <v>402</v>
      </c>
    </row>
    <row r="27" spans="1:16">
      <c r="B27" s="55" t="s">
        <v>403</v>
      </c>
      <c r="C27" s="56" t="s">
        <v>404</v>
      </c>
      <c r="D27" s="56" t="s">
        <v>405</v>
      </c>
      <c r="E27" s="57" t="s">
        <v>405</v>
      </c>
    </row>
    <row r="28" spans="1:16">
      <c r="B28" s="58">
        <f>C8+C11+C14</f>
        <v>306.69559434932529</v>
      </c>
      <c r="C28" s="59">
        <f>C17</f>
        <v>6.1992000000000003</v>
      </c>
      <c r="D28" s="59">
        <f>E14</f>
        <v>20.829136284418766</v>
      </c>
      <c r="E28" s="60">
        <f>G14</f>
        <v>19.420933085410407</v>
      </c>
    </row>
    <row r="29" spans="1:16" ht="15" thickBot="1">
      <c r="B29" s="61" t="s">
        <v>406</v>
      </c>
      <c r="C29" s="62" t="s">
        <v>406</v>
      </c>
      <c r="D29" s="62" t="s">
        <v>406</v>
      </c>
      <c r="E29" s="63" t="s">
        <v>406</v>
      </c>
    </row>
  </sheetData>
  <mergeCells count="1">
    <mergeCell ref="E1:Q1"/>
  </mergeCells>
  <pageMargins left="0.7" right="0.7" top="0.75" bottom="0.75" header="0.3" footer="0.3"/>
  <pageSetup paperSize="9" scale="68" fitToHeight="0" orientation="landscape" horizontalDpi="360" verticalDpi="360" r:id="rId1"/>
  <headerFooter>
    <oddFooter>&amp;C&amp;"+,Regular"&amp;10Page &amp;P of &amp;N&amp;R&amp;"+,Regular"&amp;10Approved by:
Wafaa Alshaaban
Project Officer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60225c-0102-4b2f-a922-e3220516d683">
      <Terms xmlns="http://schemas.microsoft.com/office/infopath/2007/PartnerControls"/>
    </lcf76f155ced4ddcb4097134ff3c332f>
    <TaxCatchAll xmlns="4c55a0b7-40e6-4b43-80fa-fb2ad9d672bd" xsi:nil="true"/>
    <_Flow_SignoffStatus xmlns="6360225c-0102-4b2f-a922-e3220516d68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11EA2ECB47014EA5A1902B89AEA8B0" ma:contentTypeVersion="16" ma:contentTypeDescription="Create a new document." ma:contentTypeScope="" ma:versionID="4695d87b0eb2de2247ba8902d217c845">
  <xsd:schema xmlns:xsd="http://www.w3.org/2001/XMLSchema" xmlns:xs="http://www.w3.org/2001/XMLSchema" xmlns:p="http://schemas.microsoft.com/office/2006/metadata/properties" xmlns:ns2="6360225c-0102-4b2f-a922-e3220516d683" xmlns:ns3="4c55a0b7-40e6-4b43-80fa-fb2ad9d672bd" targetNamespace="http://schemas.microsoft.com/office/2006/metadata/properties" ma:root="true" ma:fieldsID="63e8731fb26f21a45170e4f8bf9a6538" ns2:_="" ns3:_="">
    <xsd:import namespace="6360225c-0102-4b2f-a922-e3220516d683"/>
    <xsd:import namespace="4c55a0b7-40e6-4b43-80fa-fb2ad9d672b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0225c-0102-4b2f-a922-e3220516d6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55a0b7-40e6-4b43-80fa-fb2ad9d672b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950f3d3-c497-48c8-a5f0-338e009031bd}" ma:internalName="TaxCatchAll" ma:showField="CatchAllData" ma:web="4c55a0b7-40e6-4b43-80fa-fb2ad9d672b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BBD485-11A2-40FD-8803-0AF7F32FDF82}"/>
</file>

<file path=customXml/itemProps2.xml><?xml version="1.0" encoding="utf-8"?>
<ds:datastoreItem xmlns:ds="http://schemas.openxmlformats.org/officeDocument/2006/customXml" ds:itemID="{608F66BC-FFD3-4B77-966F-9DAE2064F68D}"/>
</file>

<file path=customXml/itemProps3.xml><?xml version="1.0" encoding="utf-8"?>
<ds:datastoreItem xmlns:ds="http://schemas.openxmlformats.org/officeDocument/2006/customXml" ds:itemID="{C10496BA-061E-498A-9DC2-DA93BBC236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SHAABAN Wafaa Yousef Fareid</dc:creator>
  <cp:keywords/>
  <dc:description/>
  <cp:lastModifiedBy>ANOMBAWA Made</cp:lastModifiedBy>
  <cp:revision/>
  <dcterms:created xsi:type="dcterms:W3CDTF">2023-08-04T18:20:41Z</dcterms:created>
  <dcterms:modified xsi:type="dcterms:W3CDTF">2024-02-14T13:32:43Z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2023-08-04T18:32:30Z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e7a78afe-8290-487a-b3bf-9a4ce9c8d5d4</vt:lpwstr>
  </property>
  <property fmtid="{D5CDD505-2E9C-101B-9397-08002B2CF9AE}" pid="8" name="MSIP_Label_2059aa38-f392-4105-be92-628035578272_ContentBits">
    <vt:lpwstr>0</vt:lpwstr>
  </property>
  <property fmtid="{D5CDD505-2E9C-101B-9397-08002B2CF9AE}" pid="9" name="ContentTypeId">
    <vt:lpwstr>0x0101005811EA2ECB47014EA5A1902B89AEA8B0</vt:lpwstr>
  </property>
  <property fmtid="{D5CDD505-2E9C-101B-9397-08002B2CF9AE}" pid="10" name="MediaServiceImageTags">
    <vt:lpwstr/>
  </property>
</Properties>
</file>